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Denne_projektmappe"/>
  <mc:AlternateContent xmlns:mc="http://schemas.openxmlformats.org/markup-compatibility/2006">
    <mc:Choice Requires="x15">
      <x15ac:absPath xmlns:x15ac="http://schemas.microsoft.com/office/spreadsheetml/2010/11/ac" url="K:\Fælles\Økonomi\Priser\Aktuel prisliste\"/>
    </mc:Choice>
  </mc:AlternateContent>
  <xr:revisionPtr revIDLastSave="0" documentId="13_ncr:1_{B624CB69-183E-44AE-9C2E-8B215CC431F6}" xr6:coauthVersionLast="47" xr6:coauthVersionMax="47" xr10:uidLastSave="{00000000-0000-0000-0000-000000000000}"/>
  <bookViews>
    <workbookView xWindow="-120" yWindow="-120" windowWidth="29040" windowHeight="15720" tabRatio="805" activeTab="1" xr2:uid="{00000000-000D-0000-FFFF-FFFF00000000}"/>
  </bookViews>
  <sheets>
    <sheet name="PRISLISTE NAT." sheetId="7" r:id="rId1"/>
    <sheet name="PRISBEREGNER NAT." sheetId="5" r:id="rId2"/>
    <sheet name="PRISOVERSLAG ARKÆO." sheetId="2" r:id="rId3"/>
    <sheet name="PRISLISTE KONS." sheetId="10" r:id="rId4"/>
    <sheet name="PRISBEREGNER KONS." sheetId="11" r:id="rId5"/>
    <sheet name="LOG" sheetId="15" state="hidden" r:id="rId6"/>
  </sheets>
  <definedNames>
    <definedName name="AFSENDER">#REF!</definedName>
    <definedName name="AFSENDERTITEL">#REF!</definedName>
    <definedName name="MODTAGERTITEL">#REF!</definedName>
    <definedName name="MUSE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E70" i="7" l="1"/>
  <c r="E11" i="2"/>
  <c r="G37" i="11"/>
  <c r="G66" i="11"/>
  <c r="H66" i="11" s="1"/>
  <c r="I66" i="11" s="1"/>
  <c r="D66" i="11"/>
  <c r="F63" i="10"/>
  <c r="B76" i="11"/>
  <c r="B77" i="11"/>
  <c r="B78" i="11"/>
  <c r="B80" i="11"/>
  <c r="B81" i="11"/>
  <c r="E69" i="7"/>
  <c r="E68" i="7"/>
  <c r="E67" i="7"/>
  <c r="E66" i="7"/>
  <c r="E65" i="7"/>
  <c r="E64" i="7"/>
  <c r="E62" i="7"/>
  <c r="E63" i="7"/>
  <c r="G63" i="5" l="1"/>
  <c r="E72" i="7"/>
  <c r="E73" i="7"/>
  <c r="E71" i="7"/>
  <c r="G85" i="5"/>
  <c r="D88" i="5"/>
  <c r="D87" i="5"/>
  <c r="G87" i="5" s="1"/>
  <c r="D86" i="5"/>
  <c r="G86" i="5" s="1"/>
  <c r="G77" i="5"/>
  <c r="D81" i="5"/>
  <c r="D78" i="5"/>
  <c r="G78" i="5" s="1"/>
  <c r="H78" i="5" s="1"/>
  <c r="I78" i="5" s="1"/>
  <c r="D79" i="5"/>
  <c r="G79" i="5" s="1"/>
  <c r="E86" i="7"/>
  <c r="E85" i="7"/>
  <c r="E84" i="7"/>
  <c r="E83" i="7"/>
  <c r="E77" i="7"/>
  <c r="E76" i="7"/>
  <c r="E80" i="7"/>
  <c r="E79" i="7"/>
  <c r="E78" i="7"/>
  <c r="G58" i="5"/>
  <c r="H79" i="5" l="1"/>
  <c r="I79" i="5"/>
  <c r="H86" i="5"/>
  <c r="I86" i="5" s="1"/>
  <c r="H87" i="5"/>
  <c r="I87" i="5" s="1"/>
  <c r="E55" i="7"/>
  <c r="D57" i="5" s="1"/>
  <c r="F37" i="10"/>
  <c r="D42" i="11" s="1"/>
  <c r="G45" i="11"/>
  <c r="G32" i="11"/>
  <c r="H32" i="11" s="1"/>
  <c r="I32" i="11" s="1"/>
  <c r="G24" i="11"/>
  <c r="G18" i="11"/>
  <c r="F40" i="10"/>
  <c r="F32" i="10"/>
  <c r="F19" i="10"/>
  <c r="F14" i="10"/>
  <c r="G100" i="5"/>
  <c r="G95" i="5"/>
  <c r="G56" i="5"/>
  <c r="G53" i="5"/>
  <c r="G47" i="5"/>
  <c r="G29" i="5"/>
  <c r="G24" i="5"/>
  <c r="E95" i="7"/>
  <c r="E91" i="7"/>
  <c r="E61" i="7"/>
  <c r="E54" i="7"/>
  <c r="E42" i="7"/>
  <c r="E23" i="7"/>
  <c r="E56" i="7"/>
  <c r="E58" i="7"/>
  <c r="D44" i="5"/>
  <c r="D113" i="5"/>
  <c r="G113" i="5" s="1"/>
  <c r="G39" i="5"/>
  <c r="E17" i="7"/>
  <c r="G50" i="5"/>
  <c r="E48" i="7"/>
  <c r="E44" i="7"/>
  <c r="G33" i="11"/>
  <c r="H33" i="11" s="1"/>
  <c r="I33" i="11" s="1"/>
  <c r="G34" i="11"/>
  <c r="F36" i="10"/>
  <c r="G108" i="5"/>
  <c r="G110" i="5"/>
  <c r="G109" i="5"/>
  <c r="H109" i="5" s="1"/>
  <c r="G35" i="11" l="1"/>
  <c r="G79" i="11" s="1"/>
  <c r="H45" i="11"/>
  <c r="I45" i="11" s="1"/>
  <c r="H34" i="11"/>
  <c r="I34" i="11" s="1"/>
  <c r="D67" i="5"/>
  <c r="G67" i="5" s="1"/>
  <c r="D21" i="11"/>
  <c r="D14" i="11"/>
  <c r="G73" i="5"/>
  <c r="G40" i="5"/>
  <c r="D73" i="5"/>
  <c r="D72" i="5"/>
  <c r="G72" i="5" s="1"/>
  <c r="D71" i="5"/>
  <c r="G71" i="5" s="1"/>
  <c r="D70" i="5"/>
  <c r="G70" i="5" s="1"/>
  <c r="D69" i="5"/>
  <c r="G69" i="5" s="1"/>
  <c r="D68" i="5"/>
  <c r="G68" i="5" s="1"/>
  <c r="H68" i="5" s="1"/>
  <c r="D66" i="5"/>
  <c r="G66" i="5" s="1"/>
  <c r="D65" i="5"/>
  <c r="G65" i="5" s="1"/>
  <c r="D64" i="5"/>
  <c r="G64" i="5" s="1"/>
  <c r="E38" i="7"/>
  <c r="D41" i="5" s="1"/>
  <c r="G41" i="5" s="1"/>
  <c r="E37" i="7"/>
  <c r="E36" i="7"/>
  <c r="E35" i="7"/>
  <c r="D35" i="5"/>
  <c r="D20" i="5"/>
  <c r="H67" i="5" l="1"/>
  <c r="I67" i="5" s="1"/>
  <c r="G134" i="5"/>
  <c r="H66" i="5"/>
  <c r="I66" i="5" s="1"/>
  <c r="H73" i="5"/>
  <c r="I73" i="5" s="1"/>
  <c r="H71" i="5"/>
  <c r="I71" i="5" s="1"/>
  <c r="H70" i="5"/>
  <c r="I70" i="5" s="1"/>
  <c r="H69" i="5"/>
  <c r="I69" i="5" s="1"/>
  <c r="H72" i="5"/>
  <c r="I72" i="5" s="1"/>
  <c r="I68" i="5"/>
  <c r="G16" i="5"/>
  <c r="H16" i="5" s="1"/>
  <c r="G25" i="5"/>
  <c r="D26" i="5"/>
  <c r="G26" i="5" s="1"/>
  <c r="E21" i="7"/>
  <c r="E19" i="7"/>
  <c r="D11" i="11"/>
  <c r="G11" i="11" s="1"/>
  <c r="H11" i="11" s="1"/>
  <c r="I11" i="11" s="1"/>
  <c r="H37" i="11"/>
  <c r="D41" i="11"/>
  <c r="G41" i="11" s="1"/>
  <c r="G42" i="11"/>
  <c r="D15" i="5"/>
  <c r="D14" i="5"/>
  <c r="D43" i="5"/>
  <c r="D39" i="5"/>
  <c r="D34" i="5"/>
  <c r="D30" i="5"/>
  <c r="G30" i="5" s="1"/>
  <c r="D21" i="5"/>
  <c r="H25" i="5" l="1"/>
  <c r="I25" i="5"/>
  <c r="H26" i="5"/>
  <c r="I26" i="5" s="1"/>
  <c r="G27" i="5"/>
  <c r="G121" i="5" s="1"/>
  <c r="H24" i="5"/>
  <c r="I16" i="5"/>
  <c r="H41" i="11"/>
  <c r="H42" i="11"/>
  <c r="I42" i="11" s="1"/>
  <c r="E52" i="7"/>
  <c r="E51" i="7"/>
  <c r="E50" i="7"/>
  <c r="E45" i="7"/>
  <c r="E25" i="7"/>
  <c r="D31" i="5" s="1"/>
  <c r="E57" i="7"/>
  <c r="D59" i="5" s="1"/>
  <c r="G59" i="5" s="1"/>
  <c r="E39" i="7"/>
  <c r="D42" i="5" s="1"/>
  <c r="D27" i="11"/>
  <c r="H27" i="5" l="1"/>
  <c r="I41" i="11"/>
  <c r="I24" i="5"/>
  <c r="I27" i="5" s="1"/>
  <c r="I121" i="5" s="1"/>
  <c r="H121" i="5"/>
  <c r="D53" i="5"/>
  <c r="E93" i="7" l="1"/>
  <c r="D97" i="5" s="1"/>
  <c r="G97" i="5" s="1"/>
  <c r="H97" i="5" s="1"/>
  <c r="I97" i="5" s="1"/>
  <c r="D72" i="11" l="1"/>
  <c r="D70" i="11"/>
  <c r="D71" i="11"/>
  <c r="D69" i="11"/>
  <c r="D59" i="11"/>
  <c r="G56" i="11"/>
  <c r="G55" i="11"/>
  <c r="H55" i="11" s="1"/>
  <c r="G28" i="11"/>
  <c r="F25" i="10"/>
  <c r="F24" i="10"/>
  <c r="F22" i="10"/>
  <c r="D26" i="11" s="1"/>
  <c r="G26" i="11" s="1"/>
  <c r="H26" i="11" s="1"/>
  <c r="F21" i="10"/>
  <c r="F20" i="10"/>
  <c r="F16" i="10"/>
  <c r="D20" i="11" s="1"/>
  <c r="G20" i="11" s="1"/>
  <c r="H20" i="11" s="1"/>
  <c r="I20" i="11" s="1"/>
  <c r="F15" i="10"/>
  <c r="D19" i="11" s="1"/>
  <c r="G19" i="11" s="1"/>
  <c r="H19" i="11" s="1"/>
  <c r="I19" i="11" s="1"/>
  <c r="G25" i="11"/>
  <c r="H25" i="11" s="1"/>
  <c r="I25" i="11" s="1"/>
  <c r="G19" i="5"/>
  <c r="G21" i="11"/>
  <c r="H21" i="11" s="1"/>
  <c r="I21" i="11" s="1"/>
  <c r="D12" i="11"/>
  <c r="G12" i="11" s="1"/>
  <c r="H12" i="11" s="1"/>
  <c r="I12" i="11" s="1"/>
  <c r="D13" i="11"/>
  <c r="G13" i="11" s="1"/>
  <c r="D25" i="11" l="1"/>
  <c r="D28" i="11"/>
  <c r="I37" i="11"/>
  <c r="G22" i="11"/>
  <c r="G77" i="11" s="1"/>
  <c r="I26" i="11"/>
  <c r="H24" i="11"/>
  <c r="I24" i="11" s="1"/>
  <c r="H13" i="11"/>
  <c r="I13" i="11" s="1"/>
  <c r="F53" i="10"/>
  <c r="F51" i="10"/>
  <c r="F41" i="10"/>
  <c r="D46" i="11" s="1"/>
  <c r="F34" i="10"/>
  <c r="D39" i="11" s="1"/>
  <c r="G39" i="11" s="1"/>
  <c r="H39" i="11" s="1"/>
  <c r="I39" i="11" s="1"/>
  <c r="F35" i="10"/>
  <c r="D40" i="11" s="1"/>
  <c r="G40" i="11" s="1"/>
  <c r="H40" i="11" s="1"/>
  <c r="I40" i="11" s="1"/>
  <c r="F33" i="10"/>
  <c r="D38" i="11" s="1"/>
  <c r="G38" i="11" s="1"/>
  <c r="F28" i="10"/>
  <c r="F10" i="10"/>
  <c r="G43" i="11" l="1"/>
  <c r="G80" i="11" s="1"/>
  <c r="H38" i="11"/>
  <c r="I35" i="11"/>
  <c r="I79" i="11" s="1"/>
  <c r="H35" i="11"/>
  <c r="H79" i="11" s="1"/>
  <c r="G81" i="5"/>
  <c r="G138" i="5" s="1"/>
  <c r="E106" i="7"/>
  <c r="I38" i="11" l="1"/>
  <c r="I43" i="11" s="1"/>
  <c r="I80" i="11" s="1"/>
  <c r="H43" i="11"/>
  <c r="H80" i="11" s="1"/>
  <c r="H108" i="5"/>
  <c r="I108" i="5" s="1"/>
  <c r="G102" i="5"/>
  <c r="D105" i="5"/>
  <c r="G105" i="5" s="1"/>
  <c r="B146" i="5"/>
  <c r="B145" i="5"/>
  <c r="B139" i="5"/>
  <c r="B138" i="5"/>
  <c r="G146" i="5"/>
  <c r="D96" i="5"/>
  <c r="G96" i="5" s="1"/>
  <c r="D82" i="5"/>
  <c r="G54" i="5"/>
  <c r="G14" i="5"/>
  <c r="E8" i="7"/>
  <c r="C18" i="2"/>
  <c r="C17" i="2"/>
  <c r="C16" i="2"/>
  <c r="C15" i="2"/>
  <c r="C14" i="2"/>
  <c r="C13" i="2"/>
  <c r="C12" i="2"/>
  <c r="C11" i="2"/>
  <c r="C10" i="2"/>
  <c r="C9" i="2"/>
  <c r="C8" i="2"/>
  <c r="C7" i="2"/>
  <c r="H110" i="5" l="1"/>
  <c r="I110" i="5" s="1"/>
  <c r="G111" i="5"/>
  <c r="G149" i="5" s="1"/>
  <c r="G98" i="5"/>
  <c r="G144" i="5" s="1"/>
  <c r="I109" i="5"/>
  <c r="G106" i="5"/>
  <c r="G148" i="5" s="1"/>
  <c r="H105" i="5"/>
  <c r="H106" i="5" s="1"/>
  <c r="H148" i="5" s="1"/>
  <c r="G145" i="5"/>
  <c r="H96" i="5"/>
  <c r="I96" i="5" s="1"/>
  <c r="H95" i="5"/>
  <c r="H145" i="5" l="1"/>
  <c r="I111" i="5"/>
  <c r="I149" i="5" s="1"/>
  <c r="H111" i="5"/>
  <c r="H149" i="5" s="1"/>
  <c r="I105" i="5"/>
  <c r="I106" i="5" s="1"/>
  <c r="I148" i="5" s="1"/>
  <c r="I146" i="5"/>
  <c r="H146" i="5"/>
  <c r="I95" i="5"/>
  <c r="H98" i="5"/>
  <c r="H144" i="5" s="1"/>
  <c r="E97" i="7"/>
  <c r="D60" i="5"/>
  <c r="G60" i="5" s="1"/>
  <c r="E29" i="7"/>
  <c r="E26" i="7"/>
  <c r="D32" i="5" s="1"/>
  <c r="E27" i="7"/>
  <c r="D33" i="5" s="1"/>
  <c r="E92" i="7"/>
  <c r="E81" i="7"/>
  <c r="E74" i="7"/>
  <c r="D74" i="5" s="1"/>
  <c r="G74" i="5" s="1"/>
  <c r="G135" i="5" s="1"/>
  <c r="G59" i="11"/>
  <c r="B123" i="5"/>
  <c r="H85" i="5"/>
  <c r="H58" i="5"/>
  <c r="B132" i="5"/>
  <c r="B131" i="5"/>
  <c r="G57" i="5"/>
  <c r="G131" i="5" s="1"/>
  <c r="H59" i="5"/>
  <c r="D115" i="5"/>
  <c r="G75" i="5" l="1"/>
  <c r="G133" i="5" s="1"/>
  <c r="H74" i="5"/>
  <c r="D40" i="5"/>
  <c r="I98" i="5"/>
  <c r="I144" i="5" s="1"/>
  <c r="I145" i="5"/>
  <c r="H57" i="5"/>
  <c r="I57" i="5" s="1"/>
  <c r="G61" i="5"/>
  <c r="H59" i="11"/>
  <c r="I59" i="11" s="1"/>
  <c r="G132" i="5"/>
  <c r="H56" i="5"/>
  <c r="I58" i="5"/>
  <c r="I74" i="5" l="1"/>
  <c r="I135" i="5" s="1"/>
  <c r="H135" i="5"/>
  <c r="H131" i="5"/>
  <c r="I56" i="5"/>
  <c r="I131" i="5" s="1"/>
  <c r="G115" i="5" l="1"/>
  <c r="H115" i="5" l="1"/>
  <c r="I115" i="5" s="1"/>
  <c r="G21" i="5" l="1"/>
  <c r="H21" i="5" s="1"/>
  <c r="I21" i="5" s="1"/>
  <c r="G20" i="5"/>
  <c r="E16" i="7"/>
  <c r="G22" i="5" l="1"/>
  <c r="G120" i="5" s="1"/>
  <c r="H77" i="5"/>
  <c r="H63" i="5"/>
  <c r="H20" i="5"/>
  <c r="H64" i="5"/>
  <c r="I64" i="5" s="1"/>
  <c r="I20" i="5" l="1"/>
  <c r="E7" i="2" l="1"/>
  <c r="E46" i="7" l="1"/>
  <c r="B122" i="5" l="1"/>
  <c r="B142" i="5"/>
  <c r="B141" i="5"/>
  <c r="B137" i="5"/>
  <c r="B135" i="5"/>
  <c r="B134" i="5"/>
  <c r="B128" i="5"/>
  <c r="B127" i="5"/>
  <c r="B124" i="5"/>
  <c r="G72" i="11" l="1"/>
  <c r="G71" i="11"/>
  <c r="G70" i="11"/>
  <c r="G69" i="11"/>
  <c r="D65" i="11"/>
  <c r="G65" i="11" s="1"/>
  <c r="D64" i="11"/>
  <c r="G64" i="11" s="1"/>
  <c r="D63" i="11"/>
  <c r="G63" i="11" s="1"/>
  <c r="D62" i="11"/>
  <c r="G62" i="11" s="1"/>
  <c r="H62" i="11" s="1"/>
  <c r="I62" i="11" s="1"/>
  <c r="D61" i="11"/>
  <c r="G61" i="11" s="1"/>
  <c r="D60" i="11"/>
  <c r="G60" i="11" s="1"/>
  <c r="H60" i="11" s="1"/>
  <c r="I60" i="11" s="1"/>
  <c r="D58" i="11"/>
  <c r="G58" i="11" s="1"/>
  <c r="D57" i="11"/>
  <c r="G57" i="11" s="1"/>
  <c r="H57" i="11" s="1"/>
  <c r="I57" i="11" s="1"/>
  <c r="D54" i="11"/>
  <c r="D53" i="11"/>
  <c r="G53" i="11" s="1"/>
  <c r="D52" i="11"/>
  <c r="D51" i="11"/>
  <c r="G51" i="11" s="1"/>
  <c r="D50" i="11"/>
  <c r="G46" i="11"/>
  <c r="D29" i="11"/>
  <c r="G29" i="11" s="1"/>
  <c r="G27" i="11"/>
  <c r="G15" i="11"/>
  <c r="H15" i="11" s="1"/>
  <c r="I15" i="11" s="1"/>
  <c r="G14" i="11"/>
  <c r="F62" i="10"/>
  <c r="F61" i="10"/>
  <c r="F60" i="10"/>
  <c r="F59" i="10"/>
  <c r="F58" i="10"/>
  <c r="F57" i="10"/>
  <c r="F55" i="10"/>
  <c r="F54" i="10"/>
  <c r="F52" i="10"/>
  <c r="D56" i="11" s="1"/>
  <c r="F50" i="10"/>
  <c r="D55" i="11" s="1"/>
  <c r="F49" i="10"/>
  <c r="F48" i="10"/>
  <c r="F47" i="10"/>
  <c r="F46" i="10"/>
  <c r="F45" i="10"/>
  <c r="F44" i="10"/>
  <c r="D49" i="11" s="1"/>
  <c r="G49" i="11" s="1"/>
  <c r="F43" i="10"/>
  <c r="D48" i="11" s="1"/>
  <c r="G48" i="11" s="1"/>
  <c r="H48" i="11" s="1"/>
  <c r="I48" i="11" s="1"/>
  <c r="F42" i="10"/>
  <c r="D47" i="11" s="1"/>
  <c r="G47" i="11" s="1"/>
  <c r="F9" i="10"/>
  <c r="F8" i="10"/>
  <c r="G73" i="11" l="1"/>
  <c r="G82" i="11" s="1"/>
  <c r="G30" i="11"/>
  <c r="G16" i="11"/>
  <c r="G76" i="11" s="1"/>
  <c r="H29" i="11"/>
  <c r="I29" i="11" s="1"/>
  <c r="H28" i="11"/>
  <c r="I28" i="11" s="1"/>
  <c r="H27" i="11"/>
  <c r="I27" i="11" s="1"/>
  <c r="G52" i="11"/>
  <c r="H52" i="11" s="1"/>
  <c r="I52" i="11" s="1"/>
  <c r="G54" i="11"/>
  <c r="H54" i="11" s="1"/>
  <c r="I54" i="11" s="1"/>
  <c r="G50" i="11"/>
  <c r="G67" i="11" s="1"/>
  <c r="G81" i="11" s="1"/>
  <c r="H46" i="11"/>
  <c r="H71" i="11"/>
  <c r="I71" i="11" s="1"/>
  <c r="H56" i="11"/>
  <c r="I56" i="11" s="1"/>
  <c r="H72" i="11"/>
  <c r="I72" i="11" s="1"/>
  <c r="H18" i="11"/>
  <c r="H22" i="11" s="1"/>
  <c r="H77" i="11" s="1"/>
  <c r="H53" i="11"/>
  <c r="I53" i="11" s="1"/>
  <c r="H64" i="11"/>
  <c r="I64" i="11" s="1"/>
  <c r="H61" i="11"/>
  <c r="I61" i="11" s="1"/>
  <c r="H63" i="11"/>
  <c r="I63" i="11" s="1"/>
  <c r="H58" i="11"/>
  <c r="I58" i="11" s="1"/>
  <c r="H65" i="11"/>
  <c r="I65" i="11" s="1"/>
  <c r="H70" i="11"/>
  <c r="I70" i="11" s="1"/>
  <c r="H47" i="11"/>
  <c r="H49" i="11"/>
  <c r="I49" i="11" s="1"/>
  <c r="H51" i="11"/>
  <c r="I51" i="11" s="1"/>
  <c r="I55" i="11"/>
  <c r="H69" i="11"/>
  <c r="H14" i="11"/>
  <c r="H16" i="11" s="1"/>
  <c r="H76" i="11" s="1"/>
  <c r="H30" i="11" l="1"/>
  <c r="H78" i="11" s="1"/>
  <c r="G78" i="11"/>
  <c r="G83" i="11" s="1"/>
  <c r="I47" i="11"/>
  <c r="I46" i="11"/>
  <c r="I69" i="11"/>
  <c r="I73" i="11" s="1"/>
  <c r="I82" i="11" s="1"/>
  <c r="H73" i="11"/>
  <c r="H82" i="11" s="1"/>
  <c r="I30" i="11"/>
  <c r="I78" i="11" s="1"/>
  <c r="H50" i="11"/>
  <c r="I50" i="11" s="1"/>
  <c r="I14" i="11"/>
  <c r="I16" i="11" s="1"/>
  <c r="I76" i="11" s="1"/>
  <c r="I18" i="11"/>
  <c r="I22" i="11" s="1"/>
  <c r="I77" i="11" s="1"/>
  <c r="I67" i="11" l="1"/>
  <c r="H67" i="11"/>
  <c r="H81" i="11"/>
  <c r="H83" i="11" s="1"/>
  <c r="I81" i="11"/>
  <c r="I83" i="11" s="1"/>
  <c r="D114" i="5" l="1"/>
  <c r="G114" i="5" s="1"/>
  <c r="B147" i="5"/>
  <c r="B150" i="5"/>
  <c r="G116" i="5" l="1"/>
  <c r="G150" i="5" s="1"/>
  <c r="H114" i="5"/>
  <c r="I114" i="5" s="1"/>
  <c r="H113" i="5"/>
  <c r="D92" i="5"/>
  <c r="G92" i="5" s="1"/>
  <c r="D89" i="5"/>
  <c r="G89" i="5" s="1"/>
  <c r="G142" i="5" s="1"/>
  <c r="G93" i="5" l="1"/>
  <c r="G143" i="5" s="1"/>
  <c r="H116" i="5"/>
  <c r="H150" i="5" s="1"/>
  <c r="I113" i="5"/>
  <c r="I116" i="5" s="1"/>
  <c r="I150" i="5" l="1"/>
  <c r="G43" i="5" l="1"/>
  <c r="H43" i="5" s="1"/>
  <c r="I43" i="5" s="1"/>
  <c r="H39" i="5" l="1"/>
  <c r="G35" i="5"/>
  <c r="H35" i="5" l="1"/>
  <c r="I35" i="5" s="1"/>
  <c r="B143" i="5" l="1"/>
  <c r="B140" i="5"/>
  <c r="B136" i="5"/>
  <c r="B133" i="5"/>
  <c r="B130" i="5"/>
  <c r="B129" i="5"/>
  <c r="B126" i="5"/>
  <c r="B125" i="5"/>
  <c r="B120" i="5"/>
  <c r="B119" i="5"/>
  <c r="D101" i="5" l="1"/>
  <c r="G101" i="5" s="1"/>
  <c r="D80" i="5"/>
  <c r="G80" i="5" s="1"/>
  <c r="D49" i="5"/>
  <c r="G49" i="5" s="1"/>
  <c r="D48" i="5"/>
  <c r="D12" i="5"/>
  <c r="D13" i="5"/>
  <c r="G13" i="5" s="1"/>
  <c r="D11" i="5"/>
  <c r="G11" i="5" s="1"/>
  <c r="E9" i="7" l="1"/>
  <c r="E10" i="7"/>
  <c r="E96" i="7" l="1"/>
  <c r="E47" i="7"/>
  <c r="E43" i="7"/>
  <c r="G103" i="5" l="1"/>
  <c r="G147" i="5" s="1"/>
  <c r="H101" i="5" l="1"/>
  <c r="I101" i="5" s="1"/>
  <c r="H102" i="5"/>
  <c r="I102" i="5" s="1"/>
  <c r="H100" i="5"/>
  <c r="E13" i="2"/>
  <c r="F13" i="2" s="1"/>
  <c r="G13" i="2" s="1"/>
  <c r="E14" i="2"/>
  <c r="F14" i="2" s="1"/>
  <c r="G14" i="2" s="1"/>
  <c r="E15" i="2"/>
  <c r="F15" i="2" s="1"/>
  <c r="G15" i="2" s="1"/>
  <c r="E16" i="2"/>
  <c r="F16" i="2" s="1"/>
  <c r="E17" i="2"/>
  <c r="F17" i="2" s="1"/>
  <c r="G17" i="2" s="1"/>
  <c r="E18" i="2"/>
  <c r="F18" i="2" s="1"/>
  <c r="E12" i="2"/>
  <c r="F12" i="2" s="1"/>
  <c r="E8" i="2"/>
  <c r="E9" i="2"/>
  <c r="F9" i="2" s="1"/>
  <c r="G9" i="2" s="1"/>
  <c r="E10" i="2"/>
  <c r="F10" i="2" s="1"/>
  <c r="H103" i="5" l="1"/>
  <c r="H147" i="5" s="1"/>
  <c r="F8" i="2"/>
  <c r="G8" i="2" s="1"/>
  <c r="E19" i="2"/>
  <c r="G16" i="2"/>
  <c r="G18" i="2"/>
  <c r="I100" i="5"/>
  <c r="G12" i="2"/>
  <c r="G10" i="2"/>
  <c r="F11" i="2"/>
  <c r="G11" i="2" s="1"/>
  <c r="I103" i="5" l="1"/>
  <c r="I147" i="5" s="1"/>
  <c r="H92" i="5"/>
  <c r="H93" i="5" s="1"/>
  <c r="G88" i="5"/>
  <c r="G90" i="5" s="1"/>
  <c r="G137" i="5"/>
  <c r="H50" i="5"/>
  <c r="G128" i="5"/>
  <c r="G48" i="5"/>
  <c r="H47" i="5"/>
  <c r="G42" i="5"/>
  <c r="G45" i="5" s="1"/>
  <c r="G34" i="5"/>
  <c r="G33" i="5"/>
  <c r="H33" i="5" s="1"/>
  <c r="I33" i="5" s="1"/>
  <c r="G32" i="5"/>
  <c r="G31" i="5"/>
  <c r="H30" i="5"/>
  <c r="H29" i="5"/>
  <c r="G82" i="5"/>
  <c r="G15" i="5"/>
  <c r="H15" i="5" s="1"/>
  <c r="I15" i="5" s="1"/>
  <c r="H14" i="5"/>
  <c r="I14" i="5" s="1"/>
  <c r="G12" i="5"/>
  <c r="G83" i="5" l="1"/>
  <c r="G136" i="5" s="1"/>
  <c r="H32" i="5"/>
  <c r="I32" i="5" s="1"/>
  <c r="G17" i="5"/>
  <c r="G119" i="5" s="1"/>
  <c r="G141" i="5"/>
  <c r="G123" i="5"/>
  <c r="H82" i="5"/>
  <c r="H139" i="5" s="1"/>
  <c r="G139" i="5"/>
  <c r="G125" i="5"/>
  <c r="G127" i="5"/>
  <c r="G51" i="5"/>
  <c r="G126" i="5" s="1"/>
  <c r="G140" i="5"/>
  <c r="H65" i="5"/>
  <c r="H134" i="5" s="1"/>
  <c r="H60" i="5"/>
  <c r="H132" i="5" s="1"/>
  <c r="G130" i="5"/>
  <c r="G129" i="5"/>
  <c r="I47" i="5"/>
  <c r="H41" i="5"/>
  <c r="I41" i="5" s="1"/>
  <c r="H88" i="5"/>
  <c r="H48" i="5"/>
  <c r="I48" i="5" s="1"/>
  <c r="H40" i="5"/>
  <c r="H11" i="5"/>
  <c r="H19" i="5"/>
  <c r="H22" i="5" s="1"/>
  <c r="H80" i="5"/>
  <c r="H34" i="5"/>
  <c r="I34" i="5" s="1"/>
  <c r="I29" i="5"/>
  <c r="H143" i="5"/>
  <c r="I92" i="5"/>
  <c r="H13" i="5"/>
  <c r="I13" i="5" s="1"/>
  <c r="I85" i="5"/>
  <c r="H49" i="5"/>
  <c r="H81" i="5"/>
  <c r="H53" i="5"/>
  <c r="H54" i="5" s="1"/>
  <c r="H31" i="5"/>
  <c r="I31" i="5" s="1"/>
  <c r="I39" i="5"/>
  <c r="H42" i="5"/>
  <c r="I42" i="5" s="1"/>
  <c r="I50" i="5"/>
  <c r="H89" i="5"/>
  <c r="H12" i="5"/>
  <c r="I12" i="5" s="1"/>
  <c r="H45" i="5" l="1"/>
  <c r="H125" i="5" s="1"/>
  <c r="I65" i="5"/>
  <c r="H75" i="5"/>
  <c r="H133" i="5" s="1"/>
  <c r="H17" i="5"/>
  <c r="H119" i="5" s="1"/>
  <c r="I88" i="5"/>
  <c r="I141" i="5" s="1"/>
  <c r="H90" i="5"/>
  <c r="H140" i="5" s="1"/>
  <c r="H141" i="5"/>
  <c r="I82" i="5"/>
  <c r="I139" i="5" s="1"/>
  <c r="I80" i="5"/>
  <c r="H137" i="5"/>
  <c r="I60" i="5"/>
  <c r="H61" i="5"/>
  <c r="H130" i="5" s="1"/>
  <c r="I89" i="5"/>
  <c r="I142" i="5" s="1"/>
  <c r="H142" i="5"/>
  <c r="I127" i="5"/>
  <c r="I81" i="5"/>
  <c r="I138" i="5" s="1"/>
  <c r="H138" i="5"/>
  <c r="H127" i="5"/>
  <c r="I49" i="5"/>
  <c r="I128" i="5" s="1"/>
  <c r="H128" i="5"/>
  <c r="H123" i="5"/>
  <c r="H83" i="5"/>
  <c r="H136" i="5" s="1"/>
  <c r="I93" i="5"/>
  <c r="I143" i="5" s="1"/>
  <c r="H51" i="5"/>
  <c r="H126" i="5" s="1"/>
  <c r="I40" i="5"/>
  <c r="H120" i="5"/>
  <c r="I11" i="5"/>
  <c r="I19" i="5"/>
  <c r="I77" i="5"/>
  <c r="I30" i="5"/>
  <c r="I123" i="5" s="1"/>
  <c r="H129" i="5"/>
  <c r="I53" i="5"/>
  <c r="I59" i="5"/>
  <c r="I63" i="5"/>
  <c r="I134" i="5" s="1"/>
  <c r="F7" i="2"/>
  <c r="I45" i="5" l="1"/>
  <c r="I125" i="5" s="1"/>
  <c r="I17" i="5"/>
  <c r="I119" i="5" s="1"/>
  <c r="I137" i="5"/>
  <c r="I90" i="5"/>
  <c r="I140" i="5" s="1"/>
  <c r="I75" i="5"/>
  <c r="I133" i="5" s="1"/>
  <c r="I61" i="5"/>
  <c r="I130" i="5" s="1"/>
  <c r="I132" i="5"/>
  <c r="I22" i="5"/>
  <c r="I120" i="5" s="1"/>
  <c r="I51" i="5"/>
  <c r="I126" i="5" s="1"/>
  <c r="I83" i="5"/>
  <c r="I136" i="5" s="1"/>
  <c r="I54" i="5"/>
  <c r="I129" i="5" s="1"/>
  <c r="G7" i="2"/>
  <c r="F19" i="2" l="1"/>
  <c r="G36" i="5"/>
  <c r="G124" i="5" l="1"/>
  <c r="G37" i="5"/>
  <c r="G122" i="5" s="1"/>
  <c r="G19" i="2"/>
  <c r="I36" i="5" s="1"/>
  <c r="H36" i="5"/>
  <c r="G151" i="5" l="1"/>
  <c r="H124" i="5"/>
  <c r="H37" i="5"/>
  <c r="I37" i="5"/>
  <c r="I124" i="5"/>
  <c r="I122" i="5" l="1"/>
  <c r="I151" i="5" s="1"/>
  <c r="H122" i="5"/>
  <c r="H151" i="5"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<sst xmlns="http://schemas.openxmlformats.org/spreadsheetml/2006/main" count="874" uniqueCount="349">
  <si>
    <t>Strategimøde (telefonisk)</t>
  </si>
  <si>
    <t>timer</t>
  </si>
  <si>
    <t>Strategimøde i felten</t>
  </si>
  <si>
    <t>Prøveudtagning/feltarbejde</t>
  </si>
  <si>
    <t>Kørsel</t>
  </si>
  <si>
    <t>km</t>
  </si>
  <si>
    <t>Felttillæg</t>
  </si>
  <si>
    <t>dage</t>
  </si>
  <si>
    <t>Flotering</t>
  </si>
  <si>
    <t>prøver</t>
  </si>
  <si>
    <t>Frysetørring</t>
  </si>
  <si>
    <t>søjler</t>
  </si>
  <si>
    <t>Startgebyr pr. ny sag</t>
  </si>
  <si>
    <t>Kursorisk gennemsyn</t>
  </si>
  <si>
    <t>Ompakning af prøver ifm. gennemsyn</t>
  </si>
  <si>
    <t>Analyse med rapport</t>
  </si>
  <si>
    <t>Udtagning til 14C</t>
  </si>
  <si>
    <t>Wiggle-match udtagning</t>
  </si>
  <si>
    <t>3 udt. fra én prøve</t>
  </si>
  <si>
    <t>5 udt. fra én prøve</t>
  </si>
  <si>
    <t>Vedanalyse</t>
  </si>
  <si>
    <t>Rapport</t>
  </si>
  <si>
    <t>Vedbestemmelse</t>
  </si>
  <si>
    <t>Analyse</t>
  </si>
  <si>
    <t>CT-scanning</t>
  </si>
  <si>
    <t>Ildsted</t>
  </si>
  <si>
    <t>Jernudvindingsovn</t>
  </si>
  <si>
    <t>Ovn</t>
  </si>
  <si>
    <t xml:space="preserve">Analyse </t>
  </si>
  <si>
    <t>pr. dag</t>
  </si>
  <si>
    <t>TEFRA</t>
  </si>
  <si>
    <t>NON-POLLEN PALYNOMORPHS (NPP)</t>
  </si>
  <si>
    <t>POLLEN</t>
  </si>
  <si>
    <t>KNOGLER</t>
  </si>
  <si>
    <t>DENDROKRONOLOGI</t>
  </si>
  <si>
    <t>VANDDRUKKENT TRÆ</t>
  </si>
  <si>
    <t>TRÆKUL</t>
  </si>
  <si>
    <t>UDTAGNING TIL 14C-DATERING</t>
  </si>
  <si>
    <t>MAKROFOSSILER</t>
  </si>
  <si>
    <t>PRØVEFORARBEJDNING</t>
  </si>
  <si>
    <t>KONSULENTSERVICE</t>
  </si>
  <si>
    <t>SLAGGER</t>
  </si>
  <si>
    <t>Kursorisk vurdering</t>
  </si>
  <si>
    <t>pr. time</t>
  </si>
  <si>
    <t>pr. km</t>
  </si>
  <si>
    <t>pr. prøve</t>
  </si>
  <si>
    <t>pr. sag</t>
  </si>
  <si>
    <t xml:space="preserve">Startgebyr </t>
  </si>
  <si>
    <t>Tørt</t>
  </si>
  <si>
    <t>1. prøve</t>
  </si>
  <si>
    <t>2. og 3. prøve</t>
  </si>
  <si>
    <t>Efterfølgende prøver</t>
  </si>
  <si>
    <t>Udtagning af 3 prøver fra et emne</t>
  </si>
  <si>
    <t xml:space="preserve">Udtagning af 5 prøver fra et emne </t>
  </si>
  <si>
    <t>Inkl. grundlæggende rapport</t>
  </si>
  <si>
    <t>Ekskl. kørsel</t>
  </si>
  <si>
    <t>Ekskl. kørsel og felttillæg</t>
  </si>
  <si>
    <t>pr. rapport</t>
  </si>
  <si>
    <t>pr. emne</t>
  </si>
  <si>
    <t>VANDDRUKKENT/UFORKULLET TRÆ</t>
  </si>
  <si>
    <t>Startgebyr</t>
  </si>
  <si>
    <t>pr. søjle</t>
  </si>
  <si>
    <t>&lt;2 kg</t>
  </si>
  <si>
    <t>&gt;2 kg</t>
  </si>
  <si>
    <t>Dendrokronologisk datering</t>
  </si>
  <si>
    <t>pr. kontekst/grav</t>
  </si>
  <si>
    <t>F.eks. via skype</t>
  </si>
  <si>
    <t>T/r Moesgård-lokalitet</t>
  </si>
  <si>
    <t>Pr. dag</t>
  </si>
  <si>
    <t>Pollensøjle</t>
  </si>
  <si>
    <t>Inkl. simpel rapport</t>
  </si>
  <si>
    <t>Ekskl. rapport</t>
  </si>
  <si>
    <t>Latriner - pr. prøve</t>
  </si>
  <si>
    <t xml:space="preserve">Indtastning til Poznan </t>
  </si>
  <si>
    <t>Indtastning til Poznan</t>
  </si>
  <si>
    <t>Brønd og grube - pr. prøve</t>
  </si>
  <si>
    <t>Grubehus pr. prøve</t>
  </si>
  <si>
    <t>Hus - Brandtomt</t>
  </si>
  <si>
    <t>Hus - kun tagbærende</t>
  </si>
  <si>
    <t>Hus med gulv/vægkonstruktion</t>
  </si>
  <si>
    <t>Kulturlag i by - pr prøve</t>
  </si>
  <si>
    <t>Kulturlag og køkkenmødding - pr. prøve</t>
  </si>
  <si>
    <t>Staklader, mindre økonomibygninger og hegn</t>
  </si>
  <si>
    <t>Prøveudtagning</t>
  </si>
  <si>
    <t>Ekspres kursorisk gennemsyn</t>
  </si>
  <si>
    <t>Ekspres udtagning til 14C</t>
  </si>
  <si>
    <t>Timepris (kr. ex. moms):</t>
  </si>
  <si>
    <t>&lt;2kg</t>
  </si>
  <si>
    <t>pakker</t>
  </si>
  <si>
    <t>PRÆPARATOPTAG</t>
  </si>
  <si>
    <t>pr. præparat</t>
  </si>
  <si>
    <t xml:space="preserve">SÆRLIG DOKUMENTATION </t>
  </si>
  <si>
    <t xml:space="preserve">Mikroskopbilleder </t>
  </si>
  <si>
    <t>pr. genstand</t>
  </si>
  <si>
    <t>Røntgenbilleder</t>
  </si>
  <si>
    <t>3D dokumentation</t>
  </si>
  <si>
    <t>MATERIALEANALYSER</t>
  </si>
  <si>
    <t xml:space="preserve">Artsbestemmelse, </t>
  </si>
  <si>
    <t xml:space="preserve">Fiberidentifikation </t>
  </si>
  <si>
    <t xml:space="preserve">Spottest </t>
  </si>
  <si>
    <t>Lipidanalyse</t>
  </si>
  <si>
    <t>Kniv, middelstørrelse</t>
  </si>
  <si>
    <t>Nitte/søm</t>
  </si>
  <si>
    <t>Fibel</t>
  </si>
  <si>
    <t>Økse</t>
  </si>
  <si>
    <t xml:space="preserve">Bronze </t>
  </si>
  <si>
    <t>Mønt</t>
  </si>
  <si>
    <t>Vægtlod</t>
  </si>
  <si>
    <t xml:space="preserve">Sølv </t>
  </si>
  <si>
    <t>Perle</t>
  </si>
  <si>
    <t>Rav</t>
  </si>
  <si>
    <t xml:space="preserve">Keramik </t>
  </si>
  <si>
    <t xml:space="preserve">Stabiliserende sammensætning af kar </t>
  </si>
  <si>
    <t xml:space="preserve">Nål </t>
  </si>
  <si>
    <t>Spillebrik</t>
  </si>
  <si>
    <t>Vævevægt e. lign.</t>
  </si>
  <si>
    <t>Komposit</t>
  </si>
  <si>
    <t>Jernkniv m. organisk skaft (ex. træ eller ben)</t>
  </si>
  <si>
    <t>Bronzefibel m. organisk materiale (ex. tekstil eller træ)</t>
  </si>
  <si>
    <t>Vanddrukkent træ</t>
  </si>
  <si>
    <t>Mindre genstande (ex. åreblad)</t>
  </si>
  <si>
    <t>Større genstande (ex. bygningstømmer)</t>
  </si>
  <si>
    <t>Læder (vådfundet)</t>
  </si>
  <si>
    <t>Læderfragmenter (5 stk.)</t>
  </si>
  <si>
    <t>Tekstil (vådfundet)</t>
  </si>
  <si>
    <t xml:space="preserve">5 stk. </t>
  </si>
  <si>
    <t>præparater</t>
  </si>
  <si>
    <t>genstande</t>
  </si>
  <si>
    <t>Nål</t>
  </si>
  <si>
    <t xml:space="preserve">Vævevægt e. lign. </t>
  </si>
  <si>
    <t xml:space="preserve">Jernkniv m. organisk skaft </t>
  </si>
  <si>
    <t xml:space="preserve">Bronzefibel m. organisk materiale </t>
  </si>
  <si>
    <t>Mindre genstande</t>
  </si>
  <si>
    <t>Større genstande</t>
  </si>
  <si>
    <t>MOMS</t>
  </si>
  <si>
    <t>SUM</t>
  </si>
  <si>
    <t>5-9 prøver = 8 timer</t>
  </si>
  <si>
    <t>Til og med 4 prøver = 2 timer</t>
  </si>
  <si>
    <t>Vådsoldning (1-2mm)</t>
  </si>
  <si>
    <t>Vådsoldning (0,25-2mm)</t>
  </si>
  <si>
    <t>5 L jordprøve</t>
  </si>
  <si>
    <t>Forsendelse (pr. sag)</t>
  </si>
  <si>
    <t>Sammenskrivning</t>
  </si>
  <si>
    <t>Sammenskrivning af rapporter (pr. sag)</t>
  </si>
  <si>
    <t>Startgebyr pr. sag</t>
  </si>
  <si>
    <t>Arkæologiske fund</t>
  </si>
  <si>
    <t>Stående bygninger (fx. boreprøver)</t>
  </si>
  <si>
    <t>Startgebyr for datering</t>
  </si>
  <si>
    <t>Prøveudtagning (fx boreprøver)</t>
  </si>
  <si>
    <t>pr. skelet</t>
  </si>
  <si>
    <t>Glas</t>
  </si>
  <si>
    <t>Udgravning af tomt kar</t>
  </si>
  <si>
    <t xml:space="preserve">Udgravning af urne med knogler og genstande </t>
  </si>
  <si>
    <t>Levering til Zoologisk Museum/ADBOU</t>
  </si>
  <si>
    <t>sag</t>
  </si>
  <si>
    <t>Pris pr. sag.</t>
  </si>
  <si>
    <t>INSEKTER</t>
  </si>
  <si>
    <t>Screening</t>
  </si>
  <si>
    <t>CT-SCANNING &amp; RØNTGEN</t>
  </si>
  <si>
    <t xml:space="preserve">mikro CT-scanning </t>
  </si>
  <si>
    <t>TYNDSLIB</t>
  </si>
  <si>
    <t>Vejledning og videreformidling til underleverandør</t>
  </si>
  <si>
    <t>20% rabat ved 100+ prøver</t>
  </si>
  <si>
    <t>Screening/Kursorisk</t>
  </si>
  <si>
    <t>Max. 5 L jord. F.eks. til screning af knogler</t>
  </si>
  <si>
    <t>Max. 5 L jord. Til screening af insekter, smedeskæl osv.</t>
  </si>
  <si>
    <t>Inkl. præparation</t>
  </si>
  <si>
    <t>Opstart for datering</t>
  </si>
  <si>
    <t xml:space="preserve">Mikro CT-scanning </t>
  </si>
  <si>
    <t>Tur-retur mellem Moesgård og lokalitet</t>
  </si>
  <si>
    <t>Ved feltarbejde</t>
  </si>
  <si>
    <t>Max. 5 liters jordprøve</t>
  </si>
  <si>
    <t>F.eks. ved adskillelse af arkæologiske fund fra makrofossiler og prøver i stofposer, hvor ompakning er nødvendig</t>
  </si>
  <si>
    <t>Kontakt evt. afdelingen eller benyt timeantal fra specifikke tilbud</t>
  </si>
  <si>
    <t>Ekskl. rapport. Inkluderer bestemmelse af op til 30 stk. trækul. Identifikationsantallet er med forbehold i bevarings- og fragmentationsgrad</t>
  </si>
  <si>
    <t>Typisk ekspeditionstid 8-12 måneder</t>
  </si>
  <si>
    <t>Typisk ekspeditionstid 1-2 måneder</t>
  </si>
  <si>
    <t>Se prøveudtagning/feltarbejde under KONSULENTSERVICE</t>
  </si>
  <si>
    <t>Vådsoldning max. 5 liters jordprøve. Screening/kursorisk gennemsyn for insektdele</t>
  </si>
  <si>
    <t>Entomologisk analyse inkl. rapport</t>
  </si>
  <si>
    <t xml:space="preserve"> Slagger &amp; ovnfragmenter</t>
  </si>
  <si>
    <t>Vådsoldning max. 5 liters jordprøve</t>
  </si>
  <si>
    <t>Kontakt afdelingen (Tlf. 87 39 40 41)</t>
  </si>
  <si>
    <t>Kontakt afdelingen (Tlf. 27 21 99 43)</t>
  </si>
  <si>
    <t>&gt;2kg (Kontakt afdelingen, tlf. 87 39 40 41)</t>
  </si>
  <si>
    <t>Stort præparat (f.eks. urne, sværd)</t>
  </si>
  <si>
    <t>Lille præparat (f.eks. kniv, fibel)</t>
  </si>
  <si>
    <t>1. genstand</t>
  </si>
  <si>
    <t>Efterfølgende genstande</t>
  </si>
  <si>
    <t>Præparat med enkelt genstand</t>
  </si>
  <si>
    <t>Urne eller præparat med flere genstande. Kontakt afdelingen (tlf. 87 39 40 44)</t>
  </si>
  <si>
    <t>Fritlagt genstand</t>
  </si>
  <si>
    <t>Urne eller præparat med flere genstande</t>
  </si>
  <si>
    <t>Kontakt afdelingen (tlf. 87 39 40 44)</t>
  </si>
  <si>
    <t>CT-SCANNING</t>
  </si>
  <si>
    <t>Artsbestemmelse</t>
  </si>
  <si>
    <t>Henvendelse til Arkæologisk IT (tlf. 87 16 21 76) vedr. priser på feltarbejde, genstande eller præparater</t>
  </si>
  <si>
    <t>Af læder og hud</t>
  </si>
  <si>
    <t>Af tekstil og pels</t>
  </si>
  <si>
    <t>Metalidentifikation</t>
  </si>
  <si>
    <t>Glasperle</t>
  </si>
  <si>
    <t>1-3. stk.</t>
  </si>
  <si>
    <t>Ravperle</t>
  </si>
  <si>
    <t>pr. kar</t>
  </si>
  <si>
    <t>Ben og tak (tørt)</t>
  </si>
  <si>
    <t xml:space="preserve">Fibel, ukompliceret </t>
  </si>
  <si>
    <t>Ubrændt ler</t>
  </si>
  <si>
    <t>Jern</t>
  </si>
  <si>
    <t>Bly</t>
  </si>
  <si>
    <t>FRYSETØRRING</t>
  </si>
  <si>
    <t>STABILISERENDE KONSERVERING</t>
  </si>
  <si>
    <t>Fibel, ukompliceret</t>
  </si>
  <si>
    <t>Udgravning af urne med knogler og genstande. Kontakt afdelingen (tlf. 87 39 40 44)</t>
  </si>
  <si>
    <t>Max. 5 liters jordprøve. Soldning til f.eks. screening af knogler</t>
  </si>
  <si>
    <t>Max. 5 liters jordprøve. Soldning til f.eks. screening af makrofossiler og smedeskæl</t>
  </si>
  <si>
    <t>Fx urner. Max 3 urner pr. scanning (ekskl. 1 times transport)</t>
  </si>
  <si>
    <t>Fx trægenstande ifbm. dendrokronologi (ekskl. 1 times transport)</t>
  </si>
  <si>
    <t>Typisk ekspeditionstid 3-4 måneder</t>
  </si>
  <si>
    <t>Typisk ekspeditionstid 3-4 uger</t>
  </si>
  <si>
    <t xml:space="preserve">Startgebyr pr. ny sag </t>
  </si>
  <si>
    <t xml:space="preserve">      Startgebyr ekskluderes (forsættelse af sag)</t>
  </si>
  <si>
    <t>Bemærkninger</t>
  </si>
  <si>
    <t>Indeksreguleret til timepris 665.</t>
  </si>
  <si>
    <t>Tilføjet mulighed for at fjerne startgebyr ved fortsættelse af sager.</t>
  </si>
  <si>
    <t>Fil er nu gemt i mappe kaldet "Aktuel prisliste" med generisk titel "Priser Konservering &amp; Naturvidenskab (låst)". Ved næste opdatering udskiftes filen men samme navn benyttes så genvejene forhåbentlig ikke brydes.</t>
  </si>
  <si>
    <t>Opdateringer</t>
  </si>
  <si>
    <t>Kursorisk vedgennemsyn</t>
  </si>
  <si>
    <t>Efterfølgende prøver/genstande</t>
  </si>
  <si>
    <t>1. prøve/genstand</t>
  </si>
  <si>
    <t>Udtagning af materiale, forsendelse og tolkning af resultater</t>
  </si>
  <si>
    <t>Analyse (eksternt laboratorie)</t>
  </si>
  <si>
    <t>Lipidanalyser (konservering) er rattet jf. Helles analysebeskrivelse</t>
  </si>
  <si>
    <t>POST</t>
  </si>
  <si>
    <t>KOMMENTAR / BESKRIVELSE</t>
  </si>
  <si>
    <t>PRØVETYPE</t>
  </si>
  <si>
    <t>PRIS EX. MOMS (kr.)</t>
  </si>
  <si>
    <t>DATO</t>
  </si>
  <si>
    <t>JOURNAL NR.</t>
  </si>
  <si>
    <t>SAMLET PRIS FOR NATURVIDENSKAB</t>
  </si>
  <si>
    <t>SAMLET</t>
  </si>
  <si>
    <t>KATEGORI</t>
  </si>
  <si>
    <t>PRØVETYPE / KOMMENTAR</t>
  </si>
  <si>
    <t>PRIS PR. ENHED</t>
  </si>
  <si>
    <t>ANTAL</t>
  </si>
  <si>
    <t>PRIS EX. MOMS</t>
  </si>
  <si>
    <t>PRIS INKL. MOMS</t>
  </si>
  <si>
    <t>Alt Materialeanlyse fjernes fra priser</t>
  </si>
  <si>
    <t>Farver opdateres til Moesgaard farvepaletten og der tilføjer Moesgaard logo</t>
  </si>
  <si>
    <t xml:space="preserve"> Skemaet kan benyttes til at udregne priser og skabe overblik over naturvidenskablige undersøgelser ifm. ansøgninger til Slots- og Kulturstyrelsen. </t>
  </si>
  <si>
    <t>se evt. Prisoverslag Arkæobotanik</t>
  </si>
  <si>
    <t>se Prisoverslag Arkæobotanik</t>
  </si>
  <si>
    <t>Definerede priser ifm. specifikke fund og anlægstyper, se arket Prisoverslag Arkæobotanik</t>
  </si>
  <si>
    <t>FUND / ANLÆG</t>
  </si>
  <si>
    <t>PRIS PR. STK.</t>
  </si>
  <si>
    <r>
      <t xml:space="preserve">PRISOVERSLAG ARKÆOBOTANIK - </t>
    </r>
    <r>
      <rPr>
        <sz val="14"/>
        <color theme="0"/>
        <rFont val="MOESGAARD"/>
        <family val="3"/>
      </rPr>
      <t>Fund- og anlægseksempler</t>
    </r>
  </si>
  <si>
    <t>PRISLISTE NATURVIDENSKAB</t>
  </si>
  <si>
    <t>SAMLET PRIS ARKÆOBOTANIK</t>
  </si>
  <si>
    <t>PRISLISTE KONSERVERING</t>
  </si>
  <si>
    <t xml:space="preserve"> Kontakt afdelingen: 87 39 40 44</t>
  </si>
  <si>
    <t>TIMEANTAL</t>
  </si>
  <si>
    <t>PRIS EX.MOMS (kr.)</t>
  </si>
  <si>
    <t xml:space="preserve">Skemaets beregninger er baseret på priserne fra arket "Prisliste Konservering". </t>
  </si>
  <si>
    <t xml:space="preserve">Skemaet kan benyttes til at udregne priser og skabe overblik over konservering ifm. ansøgninger til Slots- og Kulturstyrelsen. </t>
  </si>
  <si>
    <t>PRISBEREGNER KONSERVERING</t>
  </si>
  <si>
    <t>SAMLET PRIS FOR KONSERVERING</t>
  </si>
  <si>
    <t>KERNEBORINGER</t>
  </si>
  <si>
    <t xml:space="preserve">Udgifter til vedligeholdelse af boreudstyr, benzin, olie etc. </t>
  </si>
  <si>
    <t>Vedligehold</t>
  </si>
  <si>
    <t>Kerneboring/feltarbejde</t>
  </si>
  <si>
    <t>Andre udgifter</t>
  </si>
  <si>
    <t>Fx overnatning</t>
  </si>
  <si>
    <t>kr.</t>
  </si>
  <si>
    <t>Udsortering af knogler (ex. soldning)</t>
  </si>
  <si>
    <t>Zooarkæologi</t>
  </si>
  <si>
    <t>Levering af knogler</t>
  </si>
  <si>
    <t>kontekst/grav</t>
  </si>
  <si>
    <t>skelet</t>
  </si>
  <si>
    <t>Artsbestememlse og udtagning</t>
  </si>
  <si>
    <t>Ønskede ændring lavet. Fx kerneboringer tilføjet, knogler ændret en del.</t>
  </si>
  <si>
    <t>Udtagning, forsendelse, videreformidling til underleverandør og tolkning</t>
  </si>
  <si>
    <t>Se PRISLISTE KONS.</t>
  </si>
  <si>
    <t xml:space="preserve"> Skemaets beregninger er baseret på priserne fra arket "PRISLISTE NATURVIDENSKAB". Se dette ark for uddybende kommentarer angående priserne.</t>
  </si>
  <si>
    <t>Slagger &amp; ovnfrag., eksl. rapport</t>
  </si>
  <si>
    <t>Kontakt afdelingen: 87 39 40 41</t>
  </si>
  <si>
    <t>Ekskl. Kørsel og felttillæg. Dobbelt timepris da boret betjenes af to personer.
En kerneboring på 2-3 meter i dybden tager som tommelfingerregel cirka 50 minutter at bore. Det vil sige man kan nå 7-8 boringer på 2-3 meter i dybden i løbet af en dag. 
For anden information Kontakt afdelingen: 87 39 40 41s geolog Jesper Petersen (jep@moesgaardmuseum.dk)</t>
  </si>
  <si>
    <t>Levering af knoglemateriale til Zoologisk Museum og ADBOU. Ved meget store mængder knogler - Kontakt afdelingen: 87 39 40 41</t>
  </si>
  <si>
    <t>Udtagning, forsendelse, og tolkning</t>
  </si>
  <si>
    <t xml:space="preserve">Analyse (eksternt laboratorie): 840 euro (6.300,00 kr.) ex.moms.  </t>
  </si>
  <si>
    <t>Fx urner (ekskl. 1 times transport)</t>
  </si>
  <si>
    <t>Vådt (prøvemængde: 100 ml)</t>
  </si>
  <si>
    <t>Rapport (vedanalyse)</t>
  </si>
  <si>
    <t>10-30 prøver = 16 timer</t>
  </si>
  <si>
    <t>Flere end 30 prøver = 24 timer</t>
  </si>
  <si>
    <t>FORSENDELSE MM.</t>
  </si>
  <si>
    <t>Forsendelse til dateringslab.</t>
  </si>
  <si>
    <t>se FORSENDELSE MM.</t>
  </si>
  <si>
    <t>Sammenskrivning af flere analyser fra én specifik sag/udgravning</t>
  </si>
  <si>
    <t xml:space="preserve"> Priser gældende fra april 2026. Fra 2022 og frem indeksreguleres timeprisen halvårligt den 1/4 og 1/10. 
 Man er altid velkommen til (omkostningsfrit) at ringe til afdelingen med sprøgsmål. 
 Alle priser er vejledende. Ret til ændringer forbeholdes.</t>
  </si>
  <si>
    <t>Uegnede og udaterbare prøver</t>
  </si>
  <si>
    <t>Fra søjle pr. meter</t>
  </si>
  <si>
    <t>Fra tilsendt prøve (andet end søjle) pr. prøve</t>
  </si>
  <si>
    <t>Inkl. præparation (uden prøveudtagning)</t>
  </si>
  <si>
    <t>Fuld analyse inkl. rapport</t>
  </si>
  <si>
    <t>Af pollensølje til magasinering/opbevaring</t>
  </si>
  <si>
    <t>Inkl. rapport. Pris vurderes ud fra kursoriske gennemsyn.</t>
  </si>
  <si>
    <t>Kontakt afdelingen: 27 21 99 43</t>
  </si>
  <si>
    <r>
      <t xml:space="preserve">KONSULENTSERVICE </t>
    </r>
    <r>
      <rPr>
        <sz val="10"/>
        <color theme="0"/>
        <rFont val="MOESGAARD"/>
        <family val="3"/>
      </rPr>
      <t>- Vi anbefaler at ansøge om konsulentservice i forbindelse med budgetplanlægning</t>
    </r>
  </si>
  <si>
    <r>
      <t xml:space="preserve">UDTAGNING TIL 14C-DATERING </t>
    </r>
    <r>
      <rPr>
        <sz val="10"/>
        <color theme="0"/>
        <rFont val="MOESGAARD"/>
        <family val="3"/>
      </rPr>
      <t>- OBS! Ved flere end 100 udtagninger til 14C-datering fra samme sag gives 20 % rabat</t>
    </r>
  </si>
  <si>
    <r>
      <t>MATERIALEANALYSER</t>
    </r>
    <r>
      <rPr>
        <sz val="10"/>
        <color theme="0"/>
        <rFont val="MOESGAARD"/>
        <family val="3"/>
      </rPr>
      <t xml:space="preserve"> - Se PRISLISTE KONS. for følgende materialeanalyser</t>
    </r>
  </si>
  <si>
    <t>Ved pakker &gt;2 kg: Kontakt afdelingen: 87 39 40 41</t>
  </si>
  <si>
    <t xml:space="preserve">Ved rekommanderet forsendelse af prøver inden for Europa </t>
  </si>
  <si>
    <t>Typisk ekspeditionstid 8-12 uger</t>
  </si>
  <si>
    <t>Typisk ekspeditionstid 2-3 uger</t>
  </si>
  <si>
    <t>(ekskl. forsendelse)</t>
  </si>
  <si>
    <t>Inkl. grundlæggende rapport, prøvevurdering og bestemmelse af 10 stykker trækul</t>
  </si>
  <si>
    <t>Udsortering og vurdering af knogler fra soldeprøver</t>
  </si>
  <si>
    <t>Ved mere end 100 prøver fa samme sag gives 20% rabat</t>
  </si>
  <si>
    <r>
      <rPr>
        <sz val="10"/>
        <color theme="0"/>
        <rFont val="MOESGAARD"/>
        <family val="3"/>
      </rPr>
      <t xml:space="preserve"> I de </t>
    </r>
    <r>
      <rPr>
        <sz val="10"/>
        <color theme="1" tint="0.499984740745262"/>
        <rFont val="MOESGAARD"/>
        <family val="3"/>
      </rPr>
      <t>gule</t>
    </r>
    <r>
      <rPr>
        <sz val="10"/>
        <color rgb="FFFFFFFF"/>
        <rFont val="MOESGAARD"/>
        <family val="3"/>
      </rPr>
      <t xml:space="preserve"> felter i kolonne E indtastes det ønskede/forventede antal af de relevante ydelser for den givne lokalitet. Alle priser er vejledende. </t>
    </r>
  </si>
  <si>
    <t>Kursorisk: brændtbens-ansamlinger</t>
  </si>
  <si>
    <t>Kursorisk: Brandgrave/brændtbens-ansamlinger</t>
  </si>
  <si>
    <t>Detaljeret analyse:Tilbud udfærdiges på baggrund af prøvestørrelse, sammensætning (pattedyr/fisk, brændt/ubrændt etc.) og problemstilling</t>
  </si>
  <si>
    <t>Kursorisk - Brændtbens-ansamlinger: Mennekse og/eller dyr? samt vurdring af potentiale (egnet til analyse?). Inkl. rapport.</t>
  </si>
  <si>
    <t>Kursorisk: Udvælgelse af delmateriale til analyse fra større sager. Vurdering inkl. rapport af potentiale/udvælgelse af materiale til detaljeret analyse</t>
  </si>
  <si>
    <t>Kursorisk vurdering af materiale</t>
  </si>
  <si>
    <t>Kursorisk: brandgrave/brændtbens-ansamlinger</t>
  </si>
  <si>
    <t>Analyse - ugennemset mat.</t>
  </si>
  <si>
    <t>Jordfæstegrav (½ skelet): Analyse af delvist bevarede ubrændte skeletter (50 % bevaret og herunder)</t>
  </si>
  <si>
    <t>Analyse - 50 % bevaret og herunder</t>
  </si>
  <si>
    <t>Udtagning til 14C- og isotopanalyser (N15/C13) samt ZooMS/TooMS</t>
  </si>
  <si>
    <t xml:space="preserve"> Inkluderer artsbestemmelse</t>
  </si>
  <si>
    <t>Analyse: Brandgrav (kursorisk gennemset mat.)</t>
  </si>
  <si>
    <t>Analyse: Brandgrav (ugennemset mat.)</t>
  </si>
  <si>
    <t>Analyse: Jordfæstegrav (½ skelet)</t>
  </si>
  <si>
    <t>Kursorisk: Udvælgelse til analyse</t>
  </si>
  <si>
    <t>Pr'veudtagning</t>
  </si>
  <si>
    <r>
      <t xml:space="preserve"> Priser gældende fra april 2026. Fra 2022 og frem indeksreguleres timeprisen halvårligt den 1/4 og 1/10. 
 Alle priser er vejledende og afspejler kun </t>
    </r>
    <r>
      <rPr>
        <u/>
        <sz val="10"/>
        <color rgb="FFFFFFFF"/>
        <rFont val="MOESGAARD"/>
        <family val="3"/>
      </rPr>
      <t>gennemsnitsprisen</t>
    </r>
    <r>
      <rPr>
        <sz val="10"/>
        <color rgb="FFFFFFFF"/>
        <rFont val="MOESGAARD"/>
        <family val="3"/>
      </rPr>
      <t xml:space="preserve"> for en enkelt genstand. Fragmenteringsgraden vil have yderligere indflydelse på prisen. 
 Ved flere ensartede genstande vil prisen være reduceret. Man er altid velkommen til (omkostningsfrit) at ringe til afdelingen med sprøgsmål. 
 Ret til ændringer forbeholdes.</t>
    </r>
  </si>
  <si>
    <r>
      <t xml:space="preserve">Skemaets beregninger er baseret på priserne fra arket "Prisliste Naturvidenskab".  
Kolonne C indeholder samlede priser for arkæobotaniske analyser af fund- og anlægseksempler fra kolonne B. 
Nedenstående priser på arkæobotanisk analyse tager udgangspunkt i en gennemsnitlig bevaring af makrofossiler. Den reelle pris for arkæobotanisk analyse udregnes først efter det kursoriske gennemsyn af prøverne. 
I de </t>
    </r>
    <r>
      <rPr>
        <sz val="10"/>
        <color theme="1" tint="0.499984740745262"/>
        <rFont val="MOESGAARD"/>
        <family val="3"/>
      </rPr>
      <t>gule</t>
    </r>
    <r>
      <rPr>
        <sz val="10"/>
        <color theme="0"/>
        <rFont val="MOESGAARD"/>
        <family val="3"/>
      </rPr>
      <t xml:space="preserve"> felter i kolonne D indtastes det   ønskede/forventede antal af de relevante fund/anlæg for den givne lokalitet. Priserne overføres automatisk til arket "Prisberegner Naturvidenskab". </t>
    </r>
  </si>
  <si>
    <r>
      <t>STABILISERENDE KONSERVERING</t>
    </r>
    <r>
      <rPr>
        <sz val="10"/>
        <color theme="0"/>
        <rFont val="MOESGAARD"/>
        <family val="3"/>
      </rPr>
      <t xml:space="preserve"> - Vejledende priser for typiske eksempler (inkluderer 1,5 time til opstart, modtagelse, pakning, tilbud- og rapportskrivning)
Alle genstande pakkes i syrefrie materialer til længerevarende opmagasinering eller efter behov til transport med medfølgende rapport om observationer og klimaanbefalinger</t>
    </r>
  </si>
  <si>
    <r>
      <rPr>
        <sz val="10"/>
        <color theme="0"/>
        <rFont val="MOESGAARD"/>
        <family val="3"/>
      </rPr>
      <t xml:space="preserve">I de </t>
    </r>
    <r>
      <rPr>
        <sz val="10"/>
        <color theme="1" tint="0.499984740745262"/>
        <rFont val="MOESGAARD"/>
        <family val="3"/>
      </rPr>
      <t>gule</t>
    </r>
    <r>
      <rPr>
        <sz val="10"/>
        <color rgb="FFFFFFFF"/>
        <rFont val="MOESGAARD"/>
        <family val="3"/>
      </rPr>
      <t xml:space="preserve"> felter i kolonne E indtastes det ønskede/forventede antal af de relevante ydelser for den givne lokalitet. </t>
    </r>
  </si>
  <si>
    <t>5 stk. Kontakt afdelingen (tlf. 87 39 40 44)</t>
  </si>
  <si>
    <t>Forkullet træ</t>
  </si>
  <si>
    <t>Stabilisering med lim af forkullet træ i præparat/kokon (til fx dendrokronologi)</t>
  </si>
  <si>
    <t>Til fx dendrokronologisk datering</t>
  </si>
  <si>
    <t>Human Osteologi</t>
  </si>
  <si>
    <t>Analyse - Brandgrav: Detaljeret analyse</t>
  </si>
  <si>
    <t>Analyse - kursorisk gennemset mat.</t>
  </si>
  <si>
    <t>Jordfæstegrav: Analyse af jordfæstebegravelser, moseskeletter o.l.</t>
  </si>
  <si>
    <t>Kursorisk - Brandgrave/brændtbens-ansamlinger: Menneske og/eller dyr? Samt vurdring af potentiale (egnet til analyse?)</t>
  </si>
  <si>
    <t>Analyse: Jordfæstegrav (ugennemset 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</si>
</sst>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 #,##0.00\ &quot;kr.&quot;_-;\-* #,##0.00\ &quot;kr.&quot;_-;_-* &quot;-&quot;??\ &quot;kr.&quot;_-;_-@_-"/>
    <numFmt numFmtId="43" formatCode="_-* #,##0.00_-;\-* #,##0.00_-;_-* &quot;-&quot;??_-;_-@_-"/>
    <numFmt numFmtId="164" formatCode="#,##0.00\ &quot;kr.&quot;"/>
    <numFmt numFmtId="165" formatCode="_-* #,##0.00\ _k_r_._-;\-* #,##0.00\ _k_r_._-;_-* &quot;-&quot;??\ _k_r_._-;_-@_-"/>
  </numFmts>
  <fonts count="43">
    <font>
      <sz val="10"/>
      <name val="Arial"/>
      <family val="2"/>
    </font>
    <font>
      <sz val="11"/>
      <color theme="1"/>
      <name val="Calibri"/>
      <family val="2"/>
      <scheme val="minor"/>
    </font>
    <font>
      <b/>
      <sz val="10"/>
      <name val="Arial"/>
      <family val="2"/>
    </font>
    <font>
      <u/>
      <sz val="10"/>
      <color theme="10"/>
      <name val="Arial"/>
      <family val="2"/>
    </font>
    <font>
      <sz val="12"/>
      <color theme="0"/>
      <name val="MOESGAARD"/>
      <family val="3"/>
    </font>
    <font>
      <b/>
      <sz val="11"/>
      <name val="MOESGAARD"/>
      <family val="3"/>
    </font>
    <font>
      <sz val="10"/>
      <name val="MOESGAARD"/>
      <family val="3"/>
    </font>
    <font>
      <sz val="11"/>
      <name val="MOESGAARD"/>
      <family val="3"/>
    </font>
    <font>
      <sz val="14"/>
      <color theme="0"/>
      <name val="MOESGAARD"/>
      <family val="3"/>
    </font>
    <font>
      <sz val="10"/>
      <color theme="0"/>
      <name val="MOESGAARD"/>
      <family val="3"/>
    </font>
    <font>
      <sz val="11"/>
      <color theme="0"/>
      <name val="MOESGAARD"/>
      <family val="3"/>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7"/>
      <name val="MOESGAARD"/>
      <family val="3"/>
    </font>
    <font>
      <sz val="10"/>
      <color theme="0"/>
      <name val="Arial"/>
      <family val="2"/>
    </font>
    <font>
      <sz val="20"/>
      <color theme="0"/>
      <name val="MOESGAARD"/>
      <family val="3"/>
    </font>
    <font>
      <sz val="10"/>
      <color theme="0"/>
      <name val="Calibri"/>
      <family val="2"/>
      <scheme val="minor"/>
    </font>
    <font>
      <sz val="14"/>
      <color rgb="FFFFFFFF"/>
      <name val="MOESGAARD"/>
      <family val="3"/>
    </font>
    <font>
      <sz val="22"/>
      <color theme="0"/>
      <name val="MOESGAARD"/>
      <family val="3"/>
    </font>
    <font>
      <sz val="10"/>
      <color theme="1" tint="0.499984740745262"/>
      <name val="MOESGAARD"/>
      <family val="3"/>
    </font>
    <font>
      <sz val="10"/>
      <color rgb="FFFFFFFF"/>
      <name val="MOESGAARD"/>
      <family val="3"/>
    </font>
    <font>
      <sz val="18"/>
      <color theme="3" tint="-0.499984740745262"/>
      <name val="MOESGAARD"/>
      <family val="3"/>
    </font>
    <font>
      <b/>
      <sz val="10"/>
      <name val="MOESGAARD"/>
      <family val="3"/>
    </font>
    <font>
      <sz val="10"/>
      <color theme="0" tint="-4.9989318521683403E-2"/>
      <name val="MOESGAARD"/>
      <family val="3"/>
    </font>
    <font>
      <sz val="10"/>
      <color theme="2" tint="-0.499984740745262"/>
      <name val="MOESGAARD"/>
      <family val="3"/>
    </font>
    <font>
      <u/>
      <sz val="10"/>
      <color rgb="FFFFFFFF"/>
      <name val="MOESGAARD"/>
      <family val="3"/>
    </font>
    <font>
      <b/>
      <sz val="12"/>
      <color rgb="FFFFFFFF"/>
      <name val="MOESGAARD"/>
      <family val="3"/>
    </font>
    <font>
      <sz val="10"/>
      <color rgb="FFFF0000"/>
      <name val="MOESGAARD"/>
      <family val="3"/>
    </font>
  </fonts>
  <fills count="4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249977111117893"/>
        <bgColor indexed="64"/>
      </patternFill>
    </fill>
    <fill>
      <patternFill patternType="solid">
        <fgColor theme="3" tint="-0.249977111117893"/>
        <bgColor rgb="FF008080"/>
      </patternFill>
    </fill>
    <fill>
      <patternFill patternType="solid">
        <fgColor theme="0" tint="-4.9989318521683403E-2"/>
        <bgColor rgb="FF008080"/>
      </patternFill>
    </fill>
    <fill>
      <patternFill patternType="solid">
        <fgColor theme="0" tint="-0.14999847407452621"/>
        <bgColor rgb="FF008080"/>
      </patternFill>
    </fill>
    <fill>
      <patternFill patternType="solid">
        <fgColor theme="3" tint="0.79998168889431442"/>
        <bgColor indexed="64"/>
      </patternFill>
    </fill>
    <fill>
      <patternFill patternType="solid">
        <fgColor theme="1" tint="0.499984740745262"/>
        <bgColor indexed="64"/>
      </patternFill>
    </fill>
    <fill>
      <patternFill patternType="solid">
        <fgColor theme="1" tint="0.499984740745262"/>
        <bgColor rgb="FF969696"/>
      </patternFill>
    </fill>
    <fill>
      <patternFill patternType="solid">
        <fgColor theme="1" tint="0.89999084444715716"/>
        <bgColor indexed="64"/>
      </patternFill>
    </fill>
    <fill>
      <patternFill patternType="solid">
        <fgColor theme="2" tint="-0.499984740745262"/>
        <bgColor indexed="64"/>
      </patternFill>
    </fill>
    <fill>
      <patternFill patternType="solid">
        <fgColor theme="2" tint="-0.499984740745262"/>
        <bgColor rgb="FF008080"/>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s>
  <cellStyleXfs count="52">
    <xf numFmtId="0" fontId="0" fillId="0" borderId="0"/>
    <xf numFmtId="0" fontId="3" fillId="0" borderId="0" applyNumberFormat="0" applyFill="0" applyBorder="0" applyAlignment="0" applyProtection="0"/>
    <xf numFmtId="43" fontId="11" fillId="0" borderId="0" applyFont="0" applyFill="0" applyBorder="0" applyAlignment="0" applyProtection="0"/>
    <xf numFmtId="44" fontId="6" fillId="0" borderId="0" applyFill="0" applyBorder="0" applyAlignment="0" applyProtection="0"/>
    <xf numFmtId="0" fontId="12" fillId="0" borderId="0" applyNumberFormat="0" applyFill="0" applyBorder="0" applyAlignment="0" applyProtection="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5" borderId="0" applyNumberFormat="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8" borderId="4" applyNumberFormat="0" applyAlignment="0" applyProtection="0"/>
    <xf numFmtId="0" fontId="20" fillId="9" borderId="5" applyNumberFormat="0" applyAlignment="0" applyProtection="0"/>
    <xf numFmtId="0" fontId="21" fillId="9" borderId="4" applyNumberFormat="0" applyAlignment="0" applyProtection="0"/>
    <xf numFmtId="0" fontId="22" fillId="0" borderId="6" applyNumberFormat="0" applyFill="0" applyAlignment="0" applyProtection="0"/>
    <xf numFmtId="0" fontId="23" fillId="10" borderId="7" applyNumberFormat="0" applyAlignment="0" applyProtection="0"/>
    <xf numFmtId="0" fontId="24" fillId="0" borderId="0" applyNumberFormat="0" applyFill="0" applyBorder="0" applyAlignment="0" applyProtection="0"/>
    <xf numFmtId="0" fontId="11" fillId="11" borderId="8" applyNumberFormat="0" applyFont="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7"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7"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28" fillId="37" borderId="0">
      <alignment horizontal="right"/>
    </xf>
    <xf numFmtId="0" fontId="5" fillId="2" borderId="0">
      <alignment horizontal="left" vertical="center" wrapText="1"/>
    </xf>
    <xf numFmtId="0" fontId="8" fillId="36" borderId="0">
      <alignment horizontal="left"/>
    </xf>
    <xf numFmtId="0" fontId="6" fillId="2" borderId="0">
      <alignment horizontal="left" vertical="top"/>
    </xf>
    <xf numFmtId="0" fontId="6" fillId="3" borderId="0">
      <alignment horizontal="left" vertical="top"/>
    </xf>
    <xf numFmtId="0" fontId="5" fillId="40" borderId="0"/>
    <xf numFmtId="43" fontId="11" fillId="0" borderId="0" applyFont="0" applyFill="0" applyBorder="0" applyAlignment="0" applyProtection="0"/>
  </cellStyleXfs>
  <cellXfs count="117">
    <xf numFmtId="0" fontId="0" fillId="0" borderId="0" xfId="0"/>
    <xf numFmtId="0" fontId="2" fillId="4" borderId="0" xfId="0" applyFont="1" applyFill="1"/>
    <xf numFmtId="14" fontId="0" fillId="0" borderId="0" xfId="0" applyNumberFormat="1"/>
    <xf numFmtId="0" fontId="5" fillId="2" borderId="0" xfId="46">
      <alignment horizontal="left" vertical="center" wrapText="1"/>
    </xf>
    <xf numFmtId="0" fontId="6" fillId="2" borderId="0" xfId="48">
      <alignment horizontal="left" vertical="top"/>
    </xf>
    <xf numFmtId="0" fontId="6" fillId="3" borderId="0" xfId="49">
      <alignment horizontal="left" vertical="top"/>
    </xf>
    <xf numFmtId="14" fontId="6" fillId="39" borderId="11" xfId="0" applyNumberFormat="1" applyFont="1" applyFill="1" applyBorder="1" applyAlignment="1" applyProtection="1">
      <alignment horizontal="left" vertical="center"/>
      <protection locked="0"/>
    </xf>
    <xf numFmtId="14" fontId="6" fillId="38" borderId="10" xfId="0" applyNumberFormat="1" applyFont="1" applyFill="1" applyBorder="1" applyProtection="1">
      <protection locked="0"/>
    </xf>
    <xf numFmtId="0" fontId="5" fillId="40" borderId="0" xfId="50"/>
    <xf numFmtId="44" fontId="6" fillId="2" borderId="0" xfId="3" applyFill="1" applyAlignment="1">
      <alignment horizontal="left" vertical="top"/>
    </xf>
    <xf numFmtId="44" fontId="6" fillId="3" borderId="0" xfId="3" applyFill="1" applyAlignment="1">
      <alignment horizontal="left" vertical="top"/>
    </xf>
    <xf numFmtId="0" fontId="6" fillId="3" borderId="0" xfId="49" applyAlignment="1">
      <alignment horizontal="right" vertical="top"/>
    </xf>
    <xf numFmtId="0" fontId="6" fillId="2" borderId="0" xfId="48" applyAlignment="1">
      <alignment horizontal="right" vertical="top"/>
    </xf>
    <xf numFmtId="164" fontId="6" fillId="2" borderId="0" xfId="51" applyNumberFormat="1" applyFont="1" applyFill="1" applyBorder="1" applyAlignment="1" applyProtection="1">
      <alignment horizontal="left"/>
    </xf>
    <xf numFmtId="43" fontId="37" fillId="43" borderId="0" xfId="51" applyFont="1" applyFill="1" applyBorder="1" applyAlignment="1" applyProtection="1">
      <alignment horizontal="right"/>
    </xf>
    <xf numFmtId="0" fontId="5" fillId="2" borderId="0" xfId="46" applyAlignment="1">
      <alignment horizontal="right" vertical="center" wrapText="1"/>
    </xf>
    <xf numFmtId="0" fontId="29" fillId="36" borderId="0" xfId="0" applyFont="1" applyFill="1"/>
    <xf numFmtId="0" fontId="30" fillId="37" borderId="0" xfId="0" applyFont="1" applyFill="1"/>
    <xf numFmtId="0" fontId="31" fillId="36" borderId="0" xfId="0" applyFont="1" applyFill="1" applyAlignment="1">
      <alignment horizontal="left" vertical="center"/>
    </xf>
    <xf numFmtId="0" fontId="32" fillId="37" borderId="0" xfId="0" applyFont="1" applyFill="1"/>
    <xf numFmtId="0" fontId="32" fillId="37" borderId="0" xfId="0" applyFont="1" applyFill="1" applyAlignment="1">
      <alignment horizontal="right"/>
    </xf>
    <xf numFmtId="0" fontId="10" fillId="37" borderId="0" xfId="0" applyFont="1" applyFill="1" applyAlignment="1">
      <alignment vertical="center" wrapText="1"/>
    </xf>
    <xf numFmtId="0" fontId="4" fillId="37" borderId="0" xfId="0" applyFont="1" applyFill="1" applyAlignment="1">
      <alignment horizontal="left"/>
    </xf>
    <xf numFmtId="0" fontId="33" fillId="37" borderId="0" xfId="0" applyFont="1" applyFill="1" applyAlignment="1">
      <alignment vertical="center"/>
    </xf>
    <xf numFmtId="164" fontId="28" fillId="37" borderId="0" xfId="0" applyNumberFormat="1" applyFont="1" applyFill="1" applyAlignment="1">
      <alignment horizontal="right"/>
    </xf>
    <xf numFmtId="0" fontId="5" fillId="2" borderId="0" xfId="0" applyFont="1" applyFill="1" applyAlignment="1">
      <alignment horizontal="left" vertical="center" wrapText="1"/>
    </xf>
    <xf numFmtId="0" fontId="8" fillId="36" borderId="0" xfId="47">
      <alignment horizontal="left"/>
    </xf>
    <xf numFmtId="0" fontId="8" fillId="36" borderId="0" xfId="0" applyFont="1" applyFill="1" applyAlignment="1">
      <alignment wrapText="1"/>
    </xf>
    <xf numFmtId="0" fontId="6" fillId="2" borderId="0" xfId="48" applyAlignment="1">
      <alignment horizontal="left" vertical="center" wrapText="1"/>
    </xf>
    <xf numFmtId="44" fontId="6" fillId="2" borderId="0" xfId="3" applyFill="1" applyAlignment="1" applyProtection="1">
      <alignment horizontal="left" vertical="center"/>
    </xf>
    <xf numFmtId="0" fontId="6" fillId="3" borderId="0" xfId="49" applyAlignment="1">
      <alignment horizontal="left" vertical="center" wrapText="1"/>
    </xf>
    <xf numFmtId="44" fontId="6" fillId="3" borderId="0" xfId="3" applyFill="1" applyAlignment="1" applyProtection="1">
      <alignment horizontal="left" vertical="center"/>
    </xf>
    <xf numFmtId="0" fontId="6" fillId="3" borderId="0" xfId="49" applyAlignment="1">
      <alignment horizontal="left" vertical="center"/>
    </xf>
    <xf numFmtId="0" fontId="6" fillId="3" borderId="0" xfId="49" applyAlignment="1">
      <alignment horizontal="right" vertical="center"/>
    </xf>
    <xf numFmtId="0" fontId="8" fillId="36" borderId="0" xfId="47" applyAlignment="1">
      <alignment horizontal="left" wrapText="1"/>
    </xf>
    <xf numFmtId="0" fontId="9" fillId="36" borderId="0" xfId="47" applyFont="1">
      <alignment horizontal="left"/>
    </xf>
    <xf numFmtId="44" fontId="9" fillId="36" borderId="0" xfId="3" applyFont="1" applyFill="1" applyAlignment="1" applyProtection="1">
      <alignment horizontal="left"/>
    </xf>
    <xf numFmtId="0" fontId="6" fillId="2" borderId="0" xfId="48" applyAlignment="1">
      <alignment horizontal="left" vertical="top" wrapText="1"/>
    </xf>
    <xf numFmtId="44" fontId="6" fillId="2" borderId="0" xfId="3" applyFill="1" applyAlignment="1" applyProtection="1">
      <alignment horizontal="left" vertical="top"/>
    </xf>
    <xf numFmtId="44" fontId="6" fillId="3" borderId="0" xfId="3" applyFill="1" applyAlignment="1" applyProtection="1">
      <alignment horizontal="left" vertical="top"/>
    </xf>
    <xf numFmtId="44" fontId="6" fillId="2" borderId="0" xfId="3" applyFill="1" applyAlignment="1" applyProtection="1">
      <alignment horizontal="right" vertical="center"/>
    </xf>
    <xf numFmtId="0" fontId="6" fillId="3" borderId="0" xfId="49" applyAlignment="1">
      <alignment horizontal="left" vertical="top" wrapText="1"/>
    </xf>
    <xf numFmtId="44" fontId="6" fillId="3" borderId="0" xfId="3" applyFill="1" applyAlignment="1" applyProtection="1">
      <alignment horizontal="right" vertical="center"/>
    </xf>
    <xf numFmtId="0" fontId="9" fillId="36" borderId="0" xfId="47" applyFont="1" applyAlignment="1">
      <alignment horizontal="right"/>
    </xf>
    <xf numFmtId="44" fontId="9" fillId="36" borderId="0" xfId="3" applyFont="1" applyFill="1" applyAlignment="1" applyProtection="1">
      <alignment horizontal="right"/>
    </xf>
    <xf numFmtId="0" fontId="7" fillId="2" borderId="0" xfId="48" applyFont="1" applyAlignment="1">
      <alignment horizontal="left" vertical="center" wrapText="1"/>
    </xf>
    <xf numFmtId="0" fontId="0" fillId="36" borderId="0" xfId="0" applyFill="1"/>
    <xf numFmtId="0" fontId="9" fillId="36" borderId="0" xfId="0" applyFont="1" applyFill="1"/>
    <xf numFmtId="0" fontId="6" fillId="36" borderId="0" xfId="0" applyFont="1" applyFill="1"/>
    <xf numFmtId="0" fontId="35" fillId="37" borderId="0" xfId="0" applyFont="1" applyFill="1" applyAlignment="1">
      <alignment horizontal="right" vertical="center"/>
    </xf>
    <xf numFmtId="164" fontId="28" fillId="37" borderId="0" xfId="0" applyNumberFormat="1" applyFont="1" applyFill="1"/>
    <xf numFmtId="164" fontId="28" fillId="36" borderId="0" xfId="3" applyNumberFormat="1" applyFont="1" applyFill="1" applyAlignment="1" applyProtection="1">
      <alignment horizontal="right"/>
    </xf>
    <xf numFmtId="44" fontId="6" fillId="2" borderId="0" xfId="3" applyFill="1" applyAlignment="1" applyProtection="1">
      <alignment horizontal="right" vertical="top"/>
    </xf>
    <xf numFmtId="165" fontId="6" fillId="2" borderId="0" xfId="3" applyNumberFormat="1" applyFill="1" applyAlignment="1" applyProtection="1">
      <alignment horizontal="left" vertical="top"/>
    </xf>
    <xf numFmtId="44" fontId="6" fillId="3" borderId="0" xfId="3" applyFill="1" applyAlignment="1" applyProtection="1">
      <alignment horizontal="right" vertical="top"/>
    </xf>
    <xf numFmtId="165" fontId="6" fillId="3" borderId="0" xfId="3" applyNumberFormat="1" applyFill="1" applyAlignment="1" applyProtection="1">
      <alignment horizontal="left" vertical="top"/>
    </xf>
    <xf numFmtId="44" fontId="6" fillId="40" borderId="0" xfId="3" applyFill="1" applyAlignment="1" applyProtection="1">
      <alignment horizontal="right"/>
    </xf>
    <xf numFmtId="0" fontId="5" fillId="40" borderId="0" xfId="50" applyAlignment="1">
      <alignment horizontal="right"/>
    </xf>
    <xf numFmtId="165" fontId="37" fillId="40" borderId="0" xfId="3" applyNumberFormat="1" applyFont="1" applyFill="1" applyProtection="1"/>
    <xf numFmtId="44" fontId="6" fillId="36" borderId="0" xfId="3" applyFill="1" applyAlignment="1" applyProtection="1">
      <alignment horizontal="right"/>
    </xf>
    <xf numFmtId="0" fontId="8" fillId="36" borderId="0" xfId="47" applyAlignment="1">
      <alignment horizontal="right"/>
    </xf>
    <xf numFmtId="44" fontId="6" fillId="36" borderId="0" xfId="3" applyFill="1" applyAlignment="1" applyProtection="1">
      <alignment horizontal="left"/>
    </xf>
    <xf numFmtId="165" fontId="6" fillId="36" borderId="0" xfId="3" applyNumberFormat="1" applyFill="1" applyAlignment="1" applyProtection="1">
      <alignment horizontal="left"/>
    </xf>
    <xf numFmtId="0" fontId="38" fillId="2" borderId="0" xfId="48" applyFont="1" applyAlignment="1">
      <alignment horizontal="right" vertical="top"/>
    </xf>
    <xf numFmtId="0" fontId="6" fillId="3" borderId="0" xfId="48" applyFill="1">
      <alignment horizontal="left" vertical="top"/>
    </xf>
    <xf numFmtId="0" fontId="36" fillId="42" borderId="0" xfId="0" applyFont="1" applyFill="1" applyAlignment="1">
      <alignment horizontal="left" vertical="center"/>
    </xf>
    <xf numFmtId="0" fontId="6" fillId="2" borderId="0" xfId="0" applyFont="1" applyFill="1"/>
    <xf numFmtId="0" fontId="38" fillId="2" borderId="0" xfId="0" applyFont="1" applyFill="1"/>
    <xf numFmtId="43" fontId="6" fillId="2" borderId="0" xfId="0" applyNumberFormat="1" applyFont="1" applyFill="1" applyAlignment="1">
      <alignment horizontal="left"/>
    </xf>
    <xf numFmtId="0" fontId="39" fillId="2" borderId="0" xfId="0" applyFont="1" applyFill="1"/>
    <xf numFmtId="43" fontId="39" fillId="2" borderId="0" xfId="0" applyNumberFormat="1" applyFont="1" applyFill="1" applyAlignment="1">
      <alignment horizontal="left"/>
    </xf>
    <xf numFmtId="0" fontId="6" fillId="2" borderId="0" xfId="0" applyFont="1" applyFill="1" applyAlignment="1">
      <alignment horizontal="left"/>
    </xf>
    <xf numFmtId="0" fontId="38" fillId="2" borderId="0" xfId="0" applyFont="1" applyFill="1" applyAlignment="1">
      <alignment horizontal="left"/>
    </xf>
    <xf numFmtId="0" fontId="37" fillId="43" borderId="0" xfId="0" applyFont="1" applyFill="1" applyAlignment="1">
      <alignment horizontal="left"/>
    </xf>
    <xf numFmtId="0" fontId="37" fillId="43" borderId="0" xfId="0" applyFont="1" applyFill="1"/>
    <xf numFmtId="164" fontId="6" fillId="3" borderId="0" xfId="3" applyNumberFormat="1" applyFill="1" applyAlignment="1" applyProtection="1">
      <alignment horizontal="right" vertical="top"/>
    </xf>
    <xf numFmtId="164" fontId="6" fillId="2" borderId="0" xfId="48" applyNumberFormat="1" applyAlignment="1">
      <alignment horizontal="right" vertical="top"/>
    </xf>
    <xf numFmtId="0" fontId="6" fillId="41" borderId="0" xfId="48" applyFill="1" applyAlignment="1" applyProtection="1">
      <alignment horizontal="right" vertical="top"/>
      <protection locked="0"/>
    </xf>
    <xf numFmtId="44" fontId="6" fillId="41" borderId="0" xfId="3" applyFill="1" applyAlignment="1" applyProtection="1">
      <alignment horizontal="right" vertical="top"/>
      <protection locked="0"/>
    </xf>
    <xf numFmtId="0" fontId="6" fillId="41" borderId="0" xfId="49" applyFill="1" applyAlignment="1" applyProtection="1">
      <alignment horizontal="right" vertical="top"/>
      <protection locked="0"/>
    </xf>
    <xf numFmtId="0" fontId="6" fillId="2" borderId="0" xfId="48" applyProtection="1">
      <alignment horizontal="left" vertical="top"/>
      <protection locked="0"/>
    </xf>
    <xf numFmtId="165" fontId="6" fillId="3" borderId="0" xfId="3" applyNumberFormat="1" applyFill="1" applyAlignment="1" applyProtection="1">
      <alignment horizontal="right" vertical="top"/>
    </xf>
    <xf numFmtId="165" fontId="6" fillId="2" borderId="0" xfId="3" applyNumberFormat="1" applyFill="1" applyAlignment="1" applyProtection="1">
      <alignment horizontal="right" vertical="top"/>
    </xf>
    <xf numFmtId="165" fontId="37" fillId="40" borderId="0" xfId="3" applyNumberFormat="1" applyFont="1" applyFill="1" applyAlignment="1" applyProtection="1">
      <alignment horizontal="right"/>
    </xf>
    <xf numFmtId="0" fontId="0" fillId="44" borderId="0" xfId="0" applyFill="1"/>
    <xf numFmtId="0" fontId="41" fillId="45" borderId="0" xfId="0" applyFont="1" applyFill="1" applyAlignment="1">
      <alignment horizontal="right" vertical="center"/>
    </xf>
    <xf numFmtId="0" fontId="29" fillId="44" borderId="0" xfId="0" applyFont="1" applyFill="1"/>
    <xf numFmtId="0" fontId="30" fillId="45" borderId="0" xfId="0" applyFont="1" applyFill="1"/>
    <xf numFmtId="0" fontId="31" fillId="44" borderId="0" xfId="0" applyFont="1" applyFill="1" applyAlignment="1">
      <alignment horizontal="left" vertical="center"/>
    </xf>
    <xf numFmtId="0" fontId="32" fillId="45" borderId="0" xfId="0" applyFont="1" applyFill="1"/>
    <xf numFmtId="0" fontId="32" fillId="45" borderId="0" xfId="0" applyFont="1" applyFill="1" applyAlignment="1">
      <alignment horizontal="right"/>
    </xf>
    <xf numFmtId="164" fontId="28" fillId="45" borderId="0" xfId="0" applyNumberFormat="1" applyFont="1" applyFill="1" applyAlignment="1">
      <alignment horizontal="right"/>
    </xf>
    <xf numFmtId="0" fontId="4" fillId="45" borderId="0" xfId="0" applyFont="1" applyFill="1" applyAlignment="1">
      <alignment horizontal="left"/>
    </xf>
    <xf numFmtId="0" fontId="8" fillId="44" borderId="0" xfId="47" applyFill="1">
      <alignment horizontal="left"/>
    </xf>
    <xf numFmtId="0" fontId="8" fillId="44" borderId="0" xfId="47" applyFill="1" applyAlignment="1">
      <alignment horizontal="right"/>
    </xf>
    <xf numFmtId="44" fontId="6" fillId="44" borderId="0" xfId="3" applyFill="1" applyAlignment="1">
      <alignment horizontal="left"/>
    </xf>
    <xf numFmtId="165" fontId="6" fillId="42" borderId="0" xfId="3" applyNumberFormat="1" applyFill="1" applyAlignment="1" applyProtection="1">
      <alignment horizontal="left" vertical="center"/>
    </xf>
    <xf numFmtId="164" fontId="28" fillId="44" borderId="0" xfId="3" applyNumberFormat="1" applyFont="1" applyFill="1" applyAlignment="1" applyProtection="1">
      <alignment horizontal="right"/>
    </xf>
    <xf numFmtId="0" fontId="9" fillId="44" borderId="0" xfId="0" applyFont="1" applyFill="1"/>
    <xf numFmtId="0" fontId="6" fillId="44" borderId="0" xfId="0" applyFont="1" applyFill="1"/>
    <xf numFmtId="0" fontId="35" fillId="45" borderId="0" xfId="0" applyFont="1" applyFill="1" applyAlignment="1">
      <alignment horizontal="right" vertical="center"/>
    </xf>
    <xf numFmtId="164" fontId="28" fillId="45" borderId="0" xfId="0" applyNumberFormat="1" applyFont="1" applyFill="1"/>
    <xf numFmtId="44" fontId="6" fillId="40" borderId="0" xfId="3" applyFill="1" applyProtection="1"/>
    <xf numFmtId="44" fontId="6" fillId="44" borderId="0" xfId="3" applyFill="1" applyAlignment="1" applyProtection="1">
      <alignment horizontal="left"/>
    </xf>
    <xf numFmtId="165" fontId="6" fillId="44" borderId="0" xfId="3" applyNumberFormat="1" applyFill="1" applyAlignment="1" applyProtection="1">
      <alignment horizontal="left"/>
    </xf>
    <xf numFmtId="165" fontId="42" fillId="44" borderId="0" xfId="3" applyNumberFormat="1" applyFont="1" applyFill="1" applyAlignment="1" applyProtection="1">
      <alignment horizontal="left"/>
    </xf>
    <xf numFmtId="0" fontId="6" fillId="41" borderId="0" xfId="48" applyFill="1" applyProtection="1">
      <alignment horizontal="left" vertical="top"/>
      <protection locked="0"/>
    </xf>
    <xf numFmtId="0" fontId="6" fillId="41" borderId="0" xfId="49" applyFill="1" applyProtection="1">
      <alignment horizontal="left" vertical="top"/>
      <protection locked="0"/>
    </xf>
    <xf numFmtId="44" fontId="6" fillId="41" borderId="0" xfId="3" applyFill="1" applyAlignment="1" applyProtection="1">
      <alignment horizontal="left" vertical="top"/>
      <protection locked="0"/>
    </xf>
    <xf numFmtId="164" fontId="28" fillId="37" borderId="0" xfId="0" applyNumberFormat="1" applyFont="1" applyFill="1" applyAlignment="1">
      <alignment horizontal="right"/>
    </xf>
    <xf numFmtId="0" fontId="9" fillId="37" borderId="0" xfId="0" applyFont="1" applyFill="1" applyAlignment="1">
      <alignment horizontal="left" vertical="center" wrapText="1"/>
    </xf>
    <xf numFmtId="0" fontId="9" fillId="37" borderId="0" xfId="0" applyFont="1" applyFill="1" applyAlignment="1">
      <alignment vertical="center" wrapText="1"/>
    </xf>
    <xf numFmtId="0" fontId="9" fillId="45" borderId="0" xfId="0" applyFont="1" applyFill="1" applyAlignment="1">
      <alignment horizontal="left" vertical="center" wrapText="1"/>
    </xf>
    <xf numFmtId="0" fontId="8" fillId="44" borderId="0" xfId="47" applyFill="1" applyAlignment="1">
      <alignment horizontal="left" vertical="center" wrapText="1"/>
    </xf>
    <xf numFmtId="164" fontId="28" fillId="45" borderId="0" xfId="0" applyNumberFormat="1" applyFont="1" applyFill="1" applyAlignment="1">
      <alignment horizontal="right"/>
    </xf>
    <xf numFmtId="17" fontId="0" fillId="0" borderId="0" xfId="0" applyNumberFormat="1" applyAlignment="1">
      <alignment horizontal="left" vertical="center"/>
    </xf>
    <xf numFmtId="17" fontId="0" fillId="0" borderId="0" xfId="0" applyNumberFormat="1" applyAlignment="1">
      <alignment horizontal="left" vertical="top"/>
    </xf>
  </cellXfs>
  <cellStyles count="52">
    <cellStyle name="20 % - Farve1" xfId="22" builtinId="30" hidden="1"/>
    <cellStyle name="20 % - Farve2" xfId="26" builtinId="34" hidden="1"/>
    <cellStyle name="20 % - Farve3" xfId="30" builtinId="38" hidden="1"/>
    <cellStyle name="20 % - Farve4" xfId="34" builtinId="42" hidden="1"/>
    <cellStyle name="20 % - Farve5" xfId="38" builtinId="46" hidden="1"/>
    <cellStyle name="20 % - Farve6" xfId="42" builtinId="50" hidden="1"/>
    <cellStyle name="40 % - Farve1" xfId="23" builtinId="31" hidden="1"/>
    <cellStyle name="40 % - Farve2" xfId="27" builtinId="35" hidden="1"/>
    <cellStyle name="40 % - Farve3" xfId="31" builtinId="39" hidden="1"/>
    <cellStyle name="40 % - Farve4" xfId="35" builtinId="43" hidden="1"/>
    <cellStyle name="40 % - Farve5" xfId="39" builtinId="47" hidden="1"/>
    <cellStyle name="40 % - Farve6" xfId="43" builtinId="51" hidden="1"/>
    <cellStyle name="60 % - Farve1" xfId="24" builtinId="32" hidden="1"/>
    <cellStyle name="60 % - Farve2" xfId="28" builtinId="36" hidden="1"/>
    <cellStyle name="60 % - Farve3" xfId="32" builtinId="40" hidden="1"/>
    <cellStyle name="60 % - Farve4" xfId="36" builtinId="44" hidden="1"/>
    <cellStyle name="60 % - Farve5" xfId="40" builtinId="48" hidden="1"/>
    <cellStyle name="60 % - Farve6" xfId="44" builtinId="52" hidden="1"/>
    <cellStyle name="Advarselstekst" xfId="17" builtinId="11" hidden="1"/>
    <cellStyle name="Bemærk!" xfId="18" builtinId="10" hidden="1"/>
    <cellStyle name="Beregning" xfId="14" builtinId="22" hidden="1"/>
    <cellStyle name="Farve1" xfId="21" builtinId="29" hidden="1"/>
    <cellStyle name="Farve2" xfId="25" builtinId="33" hidden="1"/>
    <cellStyle name="Farve3" xfId="29" builtinId="37" hidden="1"/>
    <cellStyle name="Farve4" xfId="33" builtinId="41" hidden="1"/>
    <cellStyle name="Farve5" xfId="37" builtinId="45" hidden="1"/>
    <cellStyle name="Farve6" xfId="41" builtinId="49" hidden="1"/>
    <cellStyle name="Forklarende tekst" xfId="19" builtinId="53" hidden="1"/>
    <cellStyle name="God" xfId="9" builtinId="26" hidden="1"/>
    <cellStyle name="Input" xfId="12" builtinId="20" hidden="1"/>
    <cellStyle name="Komma" xfId="2" builtinId="3" hidden="1"/>
    <cellStyle name="Komma" xfId="51" builtinId="3"/>
    <cellStyle name="Kontrollér celle" xfId="16" builtinId="23" hidden="1"/>
    <cellStyle name="Link" xfId="1" builtinId="8" hidden="1"/>
    <cellStyle name="Neutral" xfId="11" builtinId="28" hidden="1"/>
    <cellStyle name="Normal" xfId="0" builtinId="0"/>
    <cellStyle name="Output" xfId="13" builtinId="21" hidden="1"/>
    <cellStyle name="Overskrift 1" xfId="5" builtinId="16" hidden="1"/>
    <cellStyle name="Overskrift 2" xfId="6" builtinId="17" hidden="1"/>
    <cellStyle name="Overskrift 3" xfId="7" builtinId="18" hidden="1"/>
    <cellStyle name="Overskrift 4" xfId="8" builtinId="19" hidden="1"/>
    <cellStyle name="overskrifter" xfId="46" xr:uid="{A0466AF6-C452-4F41-854F-E452DA38E449}"/>
    <cellStyle name="rubrik" xfId="47" xr:uid="{01BC42F4-1DD0-4913-80B5-B69FA045A180}"/>
    <cellStyle name="SAMLET" xfId="50" xr:uid="{B006501A-EF3D-4B16-B63E-46E4260918D5}"/>
    <cellStyle name="Sammenkædet celle" xfId="15" builtinId="24" hidden="1"/>
    <cellStyle name="TEKSTLYS" xfId="48" xr:uid="{BF043965-4BE3-4681-8BFC-FFCEE597CA33}"/>
    <cellStyle name="TEKSTMØRK" xfId="49" xr:uid="{9FFF28C5-729F-421F-85A3-31A9E87BE3C2}"/>
    <cellStyle name="TIMEPRIS" xfId="45" xr:uid="{BD5445D1-4502-4553-B448-12E6B1B7409D}"/>
    <cellStyle name="Titel" xfId="4" builtinId="15" hidden="1"/>
    <cellStyle name="Total" xfId="20" builtinId="25" hidden="1"/>
    <cellStyle name="Ugyldig" xfId="10" builtinId="27" hidden="1"/>
    <cellStyle name="Valuta" xfId="3" builtinId="4" customBuiltin="1"/>
  </cellStyles>
  <dxfs count="5">
    <dxf>
      <fill>
        <patternFill>
          <bgColor theme="6"/>
        </patternFill>
      </fill>
    </dxf>
    <dxf>
      <fill>
        <patternFill>
          <bgColor theme="2"/>
        </patternFill>
      </fill>
    </dxf>
    <dxf>
      <font>
        <b/>
        <i val="0"/>
      </font>
      <fill>
        <patternFill>
          <bgColor theme="2"/>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2"/>
        </patternFill>
      </fill>
    </dxf>
  </dxfs>
  <tableStyles count="3" defaultTableStyle="TableStyleMedium2" defaultPivotStyle="PivotStyleLight16">
    <tableStyle name="Tabeltypografi 1" pivot="0" count="1" xr9:uid="{AF90A622-47CD-457E-9A13-1F2DABD3E456}">
      <tableStyleElement type="secondRowStripe" dxfId="4"/>
    </tableStyle>
    <tableStyle name="Tabeltypografi 1 2" pivot="0" count="2" xr9:uid="{9A02A548-261A-4833-A8CF-E877292C7458}">
      <tableStyleElement type="wholeTable" dxfId="3"/>
      <tableStyleElement type="headerRow" dxfId="2"/>
    </tableStyle>
    <tableStyle name="Tabeltypografi 2" pivot="0" count="2" xr9:uid="{A7B83D50-AECD-4D0E-925F-9065774CAD85}">
      <tableStyleElement type="wholeTable" dxfId="1"/>
      <tableStyleElement type="firstRowStripe" dxfId="0"/>
    </tableStyle>
  </table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58466"/>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81D41A"/>
      <rgbColor rgb="FFFFBF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54343"/>
      <color rgb="FF70AD47"/>
      <color rgb="FFCCFF33"/>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ctrlProps/ctrlProp1.xml><?xml version="1.0" encoding="utf-8"?>
<formControlPr xmlns="http://schemas.microsoft.com/office/spreadsheetml/2009/9/main" objectType="CheckBox" fmlaLink="$E29" lockText="1" noThreeD="1"/>
</file>

<file path=xl/ctrlProps/ctrlProp10.xml><?xml version="1.0" encoding="utf-8"?>
<formControlPr xmlns="http://schemas.microsoft.com/office/spreadsheetml/2009/9/main" objectType="CheckBox" fmlaLink="$E63" lockText="1" noThreeD="1"/>
</file>

<file path=xl/ctrlProps/ctrlProp2.xml><?xml version="1.0" encoding="utf-8"?>
<formControlPr xmlns="http://schemas.microsoft.com/office/spreadsheetml/2009/9/main" objectType="CheckBox" fmlaLink="$E47" noThreeD="1"/>
</file>

<file path=xl/ctrlProps/ctrlProp3.xml><?xml version="1.0" encoding="utf-8"?>
<formControlPr xmlns="http://schemas.microsoft.com/office/spreadsheetml/2009/9/main" objectType="CheckBox" fmlaLink="$E56" lockText="1" noThreeD="1"/>
</file>

<file path=xl/ctrlProps/ctrlProp4.xml><?xml version="1.0" encoding="utf-8"?>
<formControlPr xmlns="http://schemas.microsoft.com/office/spreadsheetml/2009/9/main" objectType="CheckBox" fmlaLink="$E77" lockText="1" noThreeD="1"/>
</file>

<file path=xl/ctrlProps/ctrlProp5.xml><?xml version="1.0" encoding="utf-8"?>
<formControlPr xmlns="http://schemas.microsoft.com/office/spreadsheetml/2009/9/main" objectType="CheckBox" fmlaLink="$E85" lockText="1" noThreeD="1"/>
</file>

<file path=xl/ctrlProps/ctrlProp6.xml><?xml version="1.0" encoding="utf-8"?>
<formControlPr xmlns="http://schemas.microsoft.com/office/spreadsheetml/2009/9/main" objectType="CheckBox" fmlaLink="$E95" lockText="1" noThreeD="1"/>
</file>

<file path=xl/ctrlProps/ctrlProp7.xml><?xml version="1.0" encoding="utf-8"?>
<formControlPr xmlns="http://schemas.microsoft.com/office/spreadsheetml/2009/9/main" objectType="CheckBox" fmlaLink="$E100" lockText="1" noThreeD="1"/>
</file>

<file path=xl/ctrlProps/ctrlProp8.xml><?xml version="1.0" encoding="utf-8"?>
<formControlPr xmlns="http://schemas.microsoft.com/office/spreadsheetml/2009/9/main" objectType="CheckBox" fmlaLink="$E108" lockText="1" noThreeD="1"/>
</file>

<file path=xl/ctrlProps/ctrlProp9.xml><?xml version="1.0" encoding="utf-8"?>
<formControlPr xmlns="http://schemas.microsoft.com/office/spreadsheetml/2009/9/main" objectType="CheckBox" fmlaLink="$E$2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3295650</xdr:colOff>
          <xdr:row>28</xdr:row>
          <xdr:rowOff>0</xdr:rowOff>
        </xdr:from>
        <xdr:to>
          <xdr:col>2</xdr:col>
          <xdr:colOff>257175</xdr:colOff>
          <xdr:row>29</xdr:row>
          <xdr:rowOff>19050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46</xdr:row>
          <xdr:rowOff>9525</xdr:rowOff>
        </xdr:from>
        <xdr:to>
          <xdr:col>2</xdr:col>
          <xdr:colOff>257175</xdr:colOff>
          <xdr:row>47</xdr:row>
          <xdr:rowOff>28575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55</xdr:row>
          <xdr:rowOff>9525</xdr:rowOff>
        </xdr:from>
        <xdr:to>
          <xdr:col>2</xdr:col>
          <xdr:colOff>257175</xdr:colOff>
          <xdr:row>56</xdr:row>
          <xdr:rowOff>28575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62</xdr:row>
          <xdr:rowOff>9525</xdr:rowOff>
        </xdr:from>
        <xdr:to>
          <xdr:col>2</xdr:col>
          <xdr:colOff>257175</xdr:colOff>
          <xdr:row>63</xdr:row>
          <xdr:rowOff>28575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76</xdr:row>
          <xdr:rowOff>9525</xdr:rowOff>
        </xdr:from>
        <xdr:to>
          <xdr:col>2</xdr:col>
          <xdr:colOff>257175</xdr:colOff>
          <xdr:row>77</xdr:row>
          <xdr:rowOff>28575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84</xdr:row>
          <xdr:rowOff>9525</xdr:rowOff>
        </xdr:from>
        <xdr:to>
          <xdr:col>2</xdr:col>
          <xdr:colOff>257175</xdr:colOff>
          <xdr:row>85</xdr:row>
          <xdr:rowOff>28575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94</xdr:row>
          <xdr:rowOff>9525</xdr:rowOff>
        </xdr:from>
        <xdr:to>
          <xdr:col>2</xdr:col>
          <xdr:colOff>257175</xdr:colOff>
          <xdr:row>95</xdr:row>
          <xdr:rowOff>28575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99</xdr:row>
          <xdr:rowOff>9525</xdr:rowOff>
        </xdr:from>
        <xdr:to>
          <xdr:col>2</xdr:col>
          <xdr:colOff>257175</xdr:colOff>
          <xdr:row>100</xdr:row>
          <xdr:rowOff>28575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1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107</xdr:row>
          <xdr:rowOff>9525</xdr:rowOff>
        </xdr:from>
        <xdr:to>
          <xdr:col>2</xdr:col>
          <xdr:colOff>257175</xdr:colOff>
          <xdr:row>108</xdr:row>
          <xdr:rowOff>28575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3295650</xdr:colOff>
          <xdr:row>23</xdr:row>
          <xdr:rowOff>0</xdr:rowOff>
        </xdr:from>
        <xdr:to>
          <xdr:col>2</xdr:col>
          <xdr:colOff>257175</xdr:colOff>
          <xdr:row>24</xdr:row>
          <xdr:rowOff>19050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ema">
  <a:themeElements>
    <a:clrScheme name="MOESGAARD">
      <a:dk1>
        <a:srgbClr val="1B1400"/>
      </a:dk1>
      <a:lt1>
        <a:srgbClr val="FFFFFF"/>
      </a:lt1>
      <a:dk2>
        <a:srgbClr val="B09293"/>
      </a:dk2>
      <a:lt2>
        <a:srgbClr val="DFDCD3"/>
      </a:lt2>
      <a:accent1>
        <a:srgbClr val="ECABA4"/>
      </a:accent1>
      <a:accent2>
        <a:srgbClr val="583459"/>
      </a:accent2>
      <a:accent3>
        <a:srgbClr val="09BC8A"/>
      </a:accent3>
      <a:accent4>
        <a:srgbClr val="FBFEB5"/>
      </a:accent4>
      <a:accent5>
        <a:srgbClr val="1D57F3"/>
      </a:accent5>
      <a:accent6>
        <a:srgbClr val="87A5F9"/>
      </a:accent6>
      <a:hlink>
        <a:srgbClr val="1D57F3"/>
      </a:hlink>
      <a:folHlink>
        <a:srgbClr val="1D57F3"/>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F78C5-BF69-4726-9965-1476A68D22B5}">
  <sheetPr codeName="Ark1">
    <tabColor theme="3" tint="-0.249977111117893"/>
    <pageSetUpPr fitToPage="1"/>
  </sheetPr>
  <dimension ref="A1:M120"/>
  <sheetViews>
    <sheetView showGridLines="0" zoomScaleNormal="100" zoomScaleSheetLayoutView="50" zoomScalePageLayoutView="70" workbookViewId="0">
      <selection activeCell="B6" sqref="B6"/>
    </sheetView>
  </sheetViews>
  <sheetFormatPr defaultColWidth="0" defaultRowHeight="12.75" zeroHeight="1"/>
  <cols>
    <col min="1" max="1" width="5.7109375" customWidth="1"/>
    <col min="2" max="2" width="35.7109375" customWidth="1"/>
    <col min="3" max="3" width="76.42578125" customWidth="1"/>
    <col min="4" max="4" width="40.5703125" customWidth="1"/>
    <col min="5" max="5" width="22.85546875" bestFit="1" customWidth="1"/>
    <col min="6" max="6" width="21.42578125" customWidth="1"/>
    <col min="7" max="7" width="5.7109375" customWidth="1"/>
    <col min="8" max="8" width="19.7109375" hidden="1" customWidth="1"/>
    <col min="9" max="9" width="15.7109375" hidden="1" customWidth="1"/>
    <col min="10" max="10" width="12" hidden="1" customWidth="1"/>
    <col min="11" max="11" width="74.85546875" hidden="1" customWidth="1"/>
    <col min="12" max="12" width="20.28515625" hidden="1" customWidth="1"/>
    <col min="13" max="13" width="12.7109375" hidden="1" customWidth="1"/>
    <col min="14" max="16384" width="9.140625" hidden="1"/>
  </cols>
  <sheetData>
    <row r="1" spans="2:6" ht="22.5" customHeight="1"/>
    <row r="2" spans="2:6">
      <c r="B2" s="16"/>
      <c r="C2" s="16"/>
      <c r="D2" s="16"/>
      <c r="E2" s="16"/>
      <c r="F2" s="16"/>
    </row>
    <row r="3" spans="2:6" ht="29.25" customHeight="1">
      <c r="B3" s="17" t="s">
        <v>255</v>
      </c>
      <c r="C3" s="17"/>
      <c r="D3" s="18"/>
      <c r="E3" s="19"/>
      <c r="F3" s="20" t="e" vm="1">
        <v>#VALUE!</v>
      </c>
    </row>
    <row r="4" spans="2:6" ht="60" customHeight="1">
      <c r="B4" s="110" t="s">
        <v>297</v>
      </c>
      <c r="C4" s="110"/>
      <c r="D4" s="110"/>
      <c r="E4" s="21"/>
      <c r="F4" s="21"/>
    </row>
    <row r="5" spans="2:6" ht="22.5" customHeight="1">
      <c r="B5" s="22" t="s">
        <v>283</v>
      </c>
      <c r="C5" s="23"/>
      <c r="D5" s="109" t="s">
        <v>86</v>
      </c>
      <c r="E5" s="109"/>
      <c r="F5" s="24">
        <v>750</v>
      </c>
    </row>
    <row r="6" spans="2:6" ht="31.5">
      <c r="B6" s="25" t="s">
        <v>232</v>
      </c>
      <c r="C6" s="3" t="s">
        <v>233</v>
      </c>
      <c r="D6" s="3" t="s">
        <v>234</v>
      </c>
      <c r="E6" s="15" t="s">
        <v>235</v>
      </c>
      <c r="F6" s="15"/>
    </row>
    <row r="7" spans="2:6" ht="18.75">
      <c r="B7" s="26" t="s">
        <v>306</v>
      </c>
      <c r="C7" s="27"/>
      <c r="D7" s="27"/>
      <c r="E7" s="27"/>
      <c r="F7" s="27"/>
    </row>
    <row r="8" spans="2:6" ht="13.5">
      <c r="B8" s="4" t="s">
        <v>0</v>
      </c>
      <c r="C8" s="28" t="s">
        <v>66</v>
      </c>
      <c r="D8" s="4"/>
      <c r="E8" s="29">
        <f>$F$5</f>
        <v>750</v>
      </c>
      <c r="F8" s="4" t="s">
        <v>43</v>
      </c>
    </row>
    <row r="9" spans="2:6" ht="13.5">
      <c r="B9" s="5" t="s">
        <v>2</v>
      </c>
      <c r="C9" s="30" t="s">
        <v>55</v>
      </c>
      <c r="D9" s="5"/>
      <c r="E9" s="31">
        <f t="shared" ref="E9:E10" si="0">$F$5</f>
        <v>750</v>
      </c>
      <c r="F9" s="5" t="s">
        <v>43</v>
      </c>
    </row>
    <row r="10" spans="2:6" ht="13.5">
      <c r="B10" s="4" t="s">
        <v>3</v>
      </c>
      <c r="C10" s="28" t="s">
        <v>56</v>
      </c>
      <c r="D10" s="4"/>
      <c r="E10" s="29">
        <f t="shared" si="0"/>
        <v>750</v>
      </c>
      <c r="F10" s="4" t="s">
        <v>43</v>
      </c>
    </row>
    <row r="11" spans="2:6" ht="13.5">
      <c r="B11" s="5" t="s">
        <v>4</v>
      </c>
      <c r="C11" s="30" t="s">
        <v>169</v>
      </c>
      <c r="D11" s="5"/>
      <c r="E11" s="31">
        <v>3.94</v>
      </c>
      <c r="F11" s="5" t="s">
        <v>44</v>
      </c>
    </row>
    <row r="12" spans="2:6" ht="13.5">
      <c r="B12" s="4" t="s">
        <v>6</v>
      </c>
      <c r="C12" s="28" t="s">
        <v>170</v>
      </c>
      <c r="D12" s="4"/>
      <c r="E12" s="29">
        <v>100</v>
      </c>
      <c r="F12" s="4" t="s">
        <v>29</v>
      </c>
    </row>
    <row r="13" spans="2:6" ht="13.5">
      <c r="B13" s="5" t="s">
        <v>269</v>
      </c>
      <c r="C13" s="30" t="s">
        <v>270</v>
      </c>
      <c r="D13" s="5"/>
      <c r="E13" s="32"/>
      <c r="F13" s="33" t="s">
        <v>283</v>
      </c>
    </row>
    <row r="14" spans="2:6" ht="18.75">
      <c r="B14" s="26" t="s">
        <v>39</v>
      </c>
      <c r="C14" s="34"/>
      <c r="D14" s="26"/>
      <c r="E14" s="35"/>
      <c r="F14" s="26"/>
    </row>
    <row r="15" spans="2:6" ht="13.5">
      <c r="B15" s="4" t="s">
        <v>8</v>
      </c>
      <c r="C15" s="28" t="s">
        <v>171</v>
      </c>
      <c r="D15" s="4"/>
      <c r="E15" s="29">
        <v>471</v>
      </c>
      <c r="F15" s="4" t="s">
        <v>45</v>
      </c>
    </row>
    <row r="16" spans="2:6" ht="27">
      <c r="B16" s="5" t="s">
        <v>138</v>
      </c>
      <c r="C16" s="30" t="s">
        <v>213</v>
      </c>
      <c r="D16" s="5"/>
      <c r="E16" s="31">
        <f>$E$15*2</f>
        <v>942</v>
      </c>
      <c r="F16" s="5" t="s">
        <v>45</v>
      </c>
    </row>
    <row r="17" spans="2:6" ht="27">
      <c r="B17" s="4" t="s">
        <v>139</v>
      </c>
      <c r="C17" s="28" t="s">
        <v>214</v>
      </c>
      <c r="D17" s="4"/>
      <c r="E17" s="29">
        <f>$E$15*5</f>
        <v>2355</v>
      </c>
      <c r="F17" s="4" t="s">
        <v>45</v>
      </c>
    </row>
    <row r="18" spans="2:6" ht="18.75">
      <c r="B18" s="26" t="s">
        <v>265</v>
      </c>
      <c r="C18" s="34"/>
      <c r="D18" s="26"/>
      <c r="E18" s="36"/>
      <c r="F18" s="26"/>
    </row>
    <row r="19" spans="2:6" ht="13.5">
      <c r="B19" s="4" t="s">
        <v>47</v>
      </c>
      <c r="C19" s="28"/>
      <c r="D19" s="4"/>
      <c r="E19" s="29">
        <f>$F$5*1.5</f>
        <v>1125</v>
      </c>
      <c r="F19" s="4" t="s">
        <v>46</v>
      </c>
    </row>
    <row r="20" spans="2:6" ht="13.5">
      <c r="B20" s="5" t="s">
        <v>267</v>
      </c>
      <c r="C20" s="30" t="s">
        <v>266</v>
      </c>
      <c r="D20" s="5"/>
      <c r="E20" s="31">
        <v>1000</v>
      </c>
      <c r="F20" s="5" t="s">
        <v>46</v>
      </c>
    </row>
    <row r="21" spans="2:6" ht="94.5">
      <c r="B21" s="4" t="s">
        <v>268</v>
      </c>
      <c r="C21" s="37" t="s">
        <v>284</v>
      </c>
      <c r="D21" s="4"/>
      <c r="E21" s="38">
        <f>$F$5*2</f>
        <v>1500</v>
      </c>
      <c r="F21" s="4" t="s">
        <v>43</v>
      </c>
    </row>
    <row r="22" spans="2:6" ht="18.75">
      <c r="B22" s="26" t="s">
        <v>38</v>
      </c>
      <c r="C22" s="34"/>
      <c r="D22" s="26"/>
      <c r="E22" s="36"/>
      <c r="F22" s="26"/>
    </row>
    <row r="23" spans="2:6" ht="13.5">
      <c r="B23" s="4" t="s">
        <v>47</v>
      </c>
      <c r="C23" s="28"/>
      <c r="D23" s="4"/>
      <c r="E23" s="29">
        <f>$F$5*2</f>
        <v>1500</v>
      </c>
      <c r="F23" s="4" t="s">
        <v>46</v>
      </c>
    </row>
    <row r="24" spans="2:6" ht="13.5">
      <c r="B24" s="5" t="s">
        <v>13</v>
      </c>
      <c r="C24" s="30" t="s">
        <v>217</v>
      </c>
      <c r="D24" s="5" t="s">
        <v>48</v>
      </c>
      <c r="E24" s="31">
        <v>174</v>
      </c>
      <c r="F24" s="5" t="s">
        <v>45</v>
      </c>
    </row>
    <row r="25" spans="2:6" ht="13.5">
      <c r="B25" s="5"/>
      <c r="C25" s="30"/>
      <c r="D25" s="5" t="s">
        <v>289</v>
      </c>
      <c r="E25" s="31">
        <f>$F$5*2</f>
        <v>1500</v>
      </c>
      <c r="F25" s="5" t="s">
        <v>45</v>
      </c>
    </row>
    <row r="26" spans="2:6" ht="13.5">
      <c r="B26" s="4" t="s">
        <v>84</v>
      </c>
      <c r="C26" s="28" t="s">
        <v>218</v>
      </c>
      <c r="D26" s="4" t="s">
        <v>48</v>
      </c>
      <c r="E26" s="29">
        <f>$E$24*1.5</f>
        <v>261</v>
      </c>
      <c r="F26" s="4" t="s">
        <v>45</v>
      </c>
    </row>
    <row r="27" spans="2:6" ht="13.5">
      <c r="B27" s="4"/>
      <c r="C27" s="28"/>
      <c r="D27" s="4" t="s">
        <v>289</v>
      </c>
      <c r="E27" s="29">
        <f>$E$25*1.5</f>
        <v>2250</v>
      </c>
      <c r="F27" s="4" t="s">
        <v>45</v>
      </c>
    </row>
    <row r="28" spans="2:6" ht="27">
      <c r="B28" s="5" t="s">
        <v>14</v>
      </c>
      <c r="C28" s="30" t="s">
        <v>172</v>
      </c>
      <c r="D28" s="5"/>
      <c r="E28" s="39">
        <v>35</v>
      </c>
      <c r="F28" s="5" t="s">
        <v>45</v>
      </c>
    </row>
    <row r="29" spans="2:6" ht="27">
      <c r="B29" s="4" t="s">
        <v>15</v>
      </c>
      <c r="C29" s="28" t="s">
        <v>173</v>
      </c>
      <c r="D29" s="4"/>
      <c r="E29" s="29">
        <f>$F$5</f>
        <v>750</v>
      </c>
      <c r="F29" s="4" t="s">
        <v>43</v>
      </c>
    </row>
    <row r="30" spans="2:6" ht="15.75" customHeight="1">
      <c r="B30" s="4"/>
      <c r="C30" s="28" t="s">
        <v>251</v>
      </c>
      <c r="D30" s="4"/>
      <c r="E30" s="29"/>
      <c r="F30" s="40" t="s">
        <v>250</v>
      </c>
    </row>
    <row r="31" spans="2:6" ht="18.75">
      <c r="B31" s="26" t="s">
        <v>307</v>
      </c>
      <c r="C31" s="34"/>
      <c r="D31" s="26"/>
      <c r="E31" s="36"/>
      <c r="F31" s="26"/>
    </row>
    <row r="32" spans="2:6" ht="13.5">
      <c r="B32" s="4" t="s">
        <v>16</v>
      </c>
      <c r="C32" s="28" t="s">
        <v>311</v>
      </c>
      <c r="D32" s="4" t="s">
        <v>49</v>
      </c>
      <c r="E32" s="29">
        <v>869</v>
      </c>
      <c r="F32" s="4"/>
    </row>
    <row r="33" spans="2:6" ht="13.5">
      <c r="B33" s="4"/>
      <c r="C33" s="28" t="s">
        <v>313</v>
      </c>
      <c r="D33" s="4" t="s">
        <v>50</v>
      </c>
      <c r="E33" s="29">
        <v>759</v>
      </c>
      <c r="F33" s="4" t="s">
        <v>45</v>
      </c>
    </row>
    <row r="34" spans="2:6" ht="13.5">
      <c r="B34" s="4"/>
      <c r="C34" s="28"/>
      <c r="D34" s="4" t="s">
        <v>51</v>
      </c>
      <c r="E34" s="29">
        <v>723</v>
      </c>
      <c r="F34" s="4" t="s">
        <v>45</v>
      </c>
    </row>
    <row r="35" spans="2:6" ht="13.5">
      <c r="B35" s="5" t="s">
        <v>85</v>
      </c>
      <c r="C35" s="30" t="s">
        <v>312</v>
      </c>
      <c r="D35" s="5" t="s">
        <v>49</v>
      </c>
      <c r="E35" s="31">
        <f>E32*1.5</f>
        <v>1303.5</v>
      </c>
      <c r="F35" s="5"/>
    </row>
    <row r="36" spans="2:6" ht="13.5">
      <c r="B36" s="5"/>
      <c r="C36" s="41" t="s">
        <v>313</v>
      </c>
      <c r="D36" s="5" t="s">
        <v>50</v>
      </c>
      <c r="E36" s="31">
        <f>E33*1.5</f>
        <v>1138.5</v>
      </c>
      <c r="F36" s="5" t="s">
        <v>45</v>
      </c>
    </row>
    <row r="37" spans="2:6" ht="13.5">
      <c r="B37" s="5"/>
      <c r="C37" s="30"/>
      <c r="D37" s="5" t="s">
        <v>51</v>
      </c>
      <c r="E37" s="31">
        <f>E34*1.5</f>
        <v>1084.5</v>
      </c>
      <c r="F37" s="5" t="s">
        <v>45</v>
      </c>
    </row>
    <row r="38" spans="2:6" ht="13.5">
      <c r="B38" s="4" t="s">
        <v>17</v>
      </c>
      <c r="C38" s="28"/>
      <c r="D38" s="4" t="s">
        <v>52</v>
      </c>
      <c r="E38" s="29">
        <f>$F$5*4</f>
        <v>3000</v>
      </c>
      <c r="F38" s="4" t="s">
        <v>58</v>
      </c>
    </row>
    <row r="39" spans="2:6" ht="13.5">
      <c r="B39" s="4"/>
      <c r="C39" s="28"/>
      <c r="D39" s="4" t="s">
        <v>53</v>
      </c>
      <c r="E39" s="29">
        <f>$F$5*6</f>
        <v>4500</v>
      </c>
      <c r="F39" s="4" t="s">
        <v>58</v>
      </c>
    </row>
    <row r="40" spans="2:6" ht="13.5">
      <c r="B40" s="5" t="s">
        <v>73</v>
      </c>
      <c r="C40" s="30"/>
      <c r="D40" s="5"/>
      <c r="E40" s="31">
        <v>32</v>
      </c>
      <c r="F40" s="5" t="s">
        <v>45</v>
      </c>
    </row>
    <row r="41" spans="2:6" ht="18.75">
      <c r="B41" s="26" t="s">
        <v>36</v>
      </c>
      <c r="C41" s="34"/>
      <c r="D41" s="26"/>
      <c r="E41" s="36"/>
      <c r="F41" s="26"/>
    </row>
    <row r="42" spans="2:6" ht="13.5">
      <c r="B42" s="4" t="s">
        <v>47</v>
      </c>
      <c r="C42" s="28"/>
      <c r="D42" s="4"/>
      <c r="E42" s="29">
        <f>$F$5*2</f>
        <v>1500</v>
      </c>
      <c r="F42" s="4" t="s">
        <v>46</v>
      </c>
    </row>
    <row r="43" spans="2:6" ht="27">
      <c r="B43" s="5" t="s">
        <v>226</v>
      </c>
      <c r="C43" s="30" t="s">
        <v>314</v>
      </c>
      <c r="D43" s="5"/>
      <c r="E43" s="31">
        <f>$F$5*2</f>
        <v>1500</v>
      </c>
      <c r="F43" s="5" t="s">
        <v>45</v>
      </c>
    </row>
    <row r="44" spans="2:6" ht="40.5">
      <c r="B44" s="4" t="s">
        <v>20</v>
      </c>
      <c r="C44" s="28" t="s">
        <v>174</v>
      </c>
      <c r="D44" s="4"/>
      <c r="E44" s="38">
        <f>$F$5*6</f>
        <v>4500</v>
      </c>
      <c r="F44" s="4" t="s">
        <v>45</v>
      </c>
    </row>
    <row r="45" spans="2:6" ht="13.5">
      <c r="B45" s="5" t="s">
        <v>290</v>
      </c>
      <c r="C45" s="30" t="s">
        <v>175</v>
      </c>
      <c r="D45" s="5" t="s">
        <v>137</v>
      </c>
      <c r="E45" s="31">
        <f>$F$5*2</f>
        <v>1500</v>
      </c>
      <c r="F45" s="5" t="s">
        <v>57</v>
      </c>
    </row>
    <row r="46" spans="2:6" ht="13.5">
      <c r="B46" s="5"/>
      <c r="C46" s="30"/>
      <c r="D46" s="5" t="s">
        <v>136</v>
      </c>
      <c r="E46" s="31">
        <f>$F$5*8</f>
        <v>6000</v>
      </c>
      <c r="F46" s="5" t="s">
        <v>57</v>
      </c>
    </row>
    <row r="47" spans="2:6" ht="13.5">
      <c r="B47" s="5"/>
      <c r="C47" s="30"/>
      <c r="D47" s="5" t="s">
        <v>291</v>
      </c>
      <c r="E47" s="31">
        <f>$F$5*16</f>
        <v>12000</v>
      </c>
      <c r="F47" s="5" t="s">
        <v>57</v>
      </c>
    </row>
    <row r="48" spans="2:6" ht="13.5">
      <c r="B48" s="5"/>
      <c r="C48" s="30"/>
      <c r="D48" s="5" t="s">
        <v>292</v>
      </c>
      <c r="E48" s="31">
        <f>$F$5*24</f>
        <v>18000</v>
      </c>
      <c r="F48" s="5" t="s">
        <v>57</v>
      </c>
    </row>
    <row r="49" spans="2:6" ht="18.75">
      <c r="B49" s="26" t="s">
        <v>59</v>
      </c>
      <c r="C49" s="34"/>
      <c r="D49" s="26"/>
      <c r="E49" s="36"/>
      <c r="F49" s="26"/>
    </row>
    <row r="50" spans="2:6" ht="13.5">
      <c r="B50" s="4" t="s">
        <v>22</v>
      </c>
      <c r="C50" s="37" t="s">
        <v>54</v>
      </c>
      <c r="D50" s="4" t="s">
        <v>49</v>
      </c>
      <c r="E50" s="29">
        <f>$F$5*2</f>
        <v>1500</v>
      </c>
      <c r="F50" s="4"/>
    </row>
    <row r="51" spans="2:6" ht="13.5">
      <c r="B51" s="4"/>
      <c r="C51" s="37"/>
      <c r="D51" s="4" t="s">
        <v>50</v>
      </c>
      <c r="E51" s="29">
        <f>$F$5*1.75</f>
        <v>1312.5</v>
      </c>
      <c r="F51" s="4" t="s">
        <v>45</v>
      </c>
    </row>
    <row r="52" spans="2:6" ht="13.5">
      <c r="B52" s="4"/>
      <c r="C52" s="37"/>
      <c r="D52" s="4" t="s">
        <v>51</v>
      </c>
      <c r="E52" s="29">
        <f>$F$5*1.5</f>
        <v>1125</v>
      </c>
      <c r="F52" s="4" t="s">
        <v>45</v>
      </c>
    </row>
    <row r="53" spans="2:6" ht="18.75">
      <c r="B53" s="26" t="s">
        <v>34</v>
      </c>
      <c r="C53" s="34"/>
      <c r="D53" s="26"/>
      <c r="E53" s="36"/>
      <c r="F53" s="26"/>
    </row>
    <row r="54" spans="2:6" ht="13.5">
      <c r="B54" s="4" t="s">
        <v>47</v>
      </c>
      <c r="C54" s="28"/>
      <c r="D54" s="4"/>
      <c r="E54" s="29">
        <f>$F$5*2</f>
        <v>1500</v>
      </c>
      <c r="F54" s="4" t="s">
        <v>46</v>
      </c>
    </row>
    <row r="55" spans="2:6" ht="13.5">
      <c r="B55" s="5" t="s">
        <v>13</v>
      </c>
      <c r="C55" s="30" t="s">
        <v>298</v>
      </c>
      <c r="D55" s="5"/>
      <c r="E55" s="31">
        <f>$F$5*0.5</f>
        <v>375</v>
      </c>
      <c r="F55" s="5" t="s">
        <v>45</v>
      </c>
    </row>
    <row r="56" spans="2:6" ht="13.5">
      <c r="B56" s="4" t="s">
        <v>64</v>
      </c>
      <c r="C56" s="28" t="s">
        <v>147</v>
      </c>
      <c r="D56" s="4"/>
      <c r="E56" s="29">
        <f>$F$5*3</f>
        <v>2250</v>
      </c>
      <c r="F56" s="4" t="s">
        <v>46</v>
      </c>
    </row>
    <row r="57" spans="2:6" ht="13.5">
      <c r="B57" s="4"/>
      <c r="C57" s="28" t="s">
        <v>176</v>
      </c>
      <c r="D57" s="4" t="s">
        <v>145</v>
      </c>
      <c r="E57" s="29">
        <f>$F$5*2</f>
        <v>1500</v>
      </c>
      <c r="F57" s="4" t="s">
        <v>45</v>
      </c>
    </row>
    <row r="58" spans="2:6" ht="13.5">
      <c r="B58" s="4"/>
      <c r="C58" s="28"/>
      <c r="D58" s="4" t="s">
        <v>146</v>
      </c>
      <c r="E58" s="29">
        <f>$F$5</f>
        <v>750</v>
      </c>
      <c r="F58" s="4" t="s">
        <v>45</v>
      </c>
    </row>
    <row r="59" spans="2:6" ht="13.5">
      <c r="B59" s="5" t="s">
        <v>148</v>
      </c>
      <c r="C59" s="30" t="s">
        <v>177</v>
      </c>
      <c r="D59" s="5"/>
      <c r="E59" s="31"/>
      <c r="F59" s="42" t="s">
        <v>283</v>
      </c>
    </row>
    <row r="60" spans="2:6" ht="18.75">
      <c r="B60" s="26" t="s">
        <v>33</v>
      </c>
      <c r="C60" s="34"/>
      <c r="D60" s="26"/>
      <c r="E60" s="36"/>
      <c r="F60" s="26"/>
    </row>
    <row r="61" spans="2:6" ht="13.5">
      <c r="B61" s="4" t="s">
        <v>60</v>
      </c>
      <c r="C61" s="28"/>
      <c r="D61" s="4"/>
      <c r="E61" s="29">
        <f>$F$5*2</f>
        <v>1500</v>
      </c>
      <c r="F61" s="4" t="s">
        <v>46</v>
      </c>
    </row>
    <row r="62" spans="2:6" ht="13.5">
      <c r="B62" s="5" t="s">
        <v>273</v>
      </c>
      <c r="C62" s="30" t="s">
        <v>315</v>
      </c>
      <c r="D62" s="5" t="s">
        <v>272</v>
      </c>
      <c r="E62" s="39">
        <f>$F$5</f>
        <v>750</v>
      </c>
      <c r="F62" s="5" t="s">
        <v>43</v>
      </c>
    </row>
    <row r="63" spans="2:6" ht="40.5">
      <c r="B63" s="5"/>
      <c r="C63" s="30" t="s">
        <v>322</v>
      </c>
      <c r="D63" s="5" t="s">
        <v>323</v>
      </c>
      <c r="E63" s="39">
        <f>$F$5</f>
        <v>750</v>
      </c>
      <c r="F63" s="5" t="s">
        <v>43</v>
      </c>
    </row>
    <row r="64" spans="2:6" ht="27">
      <c r="B64" s="5"/>
      <c r="C64" s="30" t="s">
        <v>321</v>
      </c>
      <c r="D64" s="5" t="s">
        <v>318</v>
      </c>
      <c r="E64" s="39">
        <f>$F$5*1.5</f>
        <v>1125</v>
      </c>
      <c r="F64" s="5" t="s">
        <v>65</v>
      </c>
    </row>
    <row r="65" spans="2:6" ht="40.5">
      <c r="B65" s="5"/>
      <c r="C65" s="30" t="s">
        <v>320</v>
      </c>
      <c r="D65" s="5" t="s">
        <v>23</v>
      </c>
      <c r="E65" s="75">
        <f>$F$5</f>
        <v>750</v>
      </c>
      <c r="F65" s="5" t="s">
        <v>43</v>
      </c>
    </row>
    <row r="66" spans="2:6" ht="27">
      <c r="B66" s="4" t="s">
        <v>343</v>
      </c>
      <c r="C66" s="37" t="s">
        <v>347</v>
      </c>
      <c r="D66" s="4" t="s">
        <v>324</v>
      </c>
      <c r="E66" s="76">
        <f>$F$5*1.5</f>
        <v>1125</v>
      </c>
      <c r="F66" s="4" t="s">
        <v>65</v>
      </c>
    </row>
    <row r="67" spans="2:6" ht="13.5">
      <c r="B67" s="4"/>
      <c r="C67" s="37" t="s">
        <v>344</v>
      </c>
      <c r="D67" s="4" t="s">
        <v>345</v>
      </c>
      <c r="E67" s="76">
        <f>$F$5*3</f>
        <v>2250</v>
      </c>
      <c r="F67" s="4" t="s">
        <v>65</v>
      </c>
    </row>
    <row r="68" spans="2:6" ht="13.5">
      <c r="B68" s="4"/>
      <c r="C68" s="37"/>
      <c r="D68" s="4" t="s">
        <v>325</v>
      </c>
      <c r="E68" s="76">
        <f>$F$5*4</f>
        <v>3000</v>
      </c>
      <c r="F68" s="4" t="s">
        <v>65</v>
      </c>
    </row>
    <row r="69" spans="2:6" ht="27">
      <c r="B69" s="4"/>
      <c r="C69" s="37" t="s">
        <v>346</v>
      </c>
      <c r="D69" s="4" t="s">
        <v>325</v>
      </c>
      <c r="E69" s="76">
        <f>$F$5*4</f>
        <v>3000</v>
      </c>
      <c r="F69" s="4" t="s">
        <v>149</v>
      </c>
    </row>
    <row r="70" spans="2:6" ht="27">
      <c r="B70" s="4"/>
      <c r="C70" s="37" t="s">
        <v>326</v>
      </c>
      <c r="D70" s="4" t="s">
        <v>327</v>
      </c>
      <c r="E70" s="76">
        <f>$F$5*2</f>
        <v>1500</v>
      </c>
      <c r="F70" s="4" t="s">
        <v>149</v>
      </c>
    </row>
    <row r="71" spans="2:6" ht="15" customHeight="1">
      <c r="B71" s="5" t="s">
        <v>83</v>
      </c>
      <c r="C71" s="41" t="s">
        <v>328</v>
      </c>
      <c r="D71" s="5" t="s">
        <v>49</v>
      </c>
      <c r="E71" s="10">
        <f>E32</f>
        <v>869</v>
      </c>
      <c r="F71" s="5"/>
    </row>
    <row r="72" spans="2:6" ht="15" customHeight="1">
      <c r="B72" s="5"/>
      <c r="C72" s="41" t="s">
        <v>329</v>
      </c>
      <c r="D72" s="5" t="s">
        <v>50</v>
      </c>
      <c r="E72" s="10">
        <f t="shared" ref="E72:E73" si="1">E33</f>
        <v>759</v>
      </c>
      <c r="F72" s="5" t="s">
        <v>45</v>
      </c>
    </row>
    <row r="73" spans="2:6" ht="15" customHeight="1">
      <c r="B73" s="5"/>
      <c r="C73" s="41" t="s">
        <v>316</v>
      </c>
      <c r="D73" s="5" t="s">
        <v>51</v>
      </c>
      <c r="E73" s="10">
        <f t="shared" si="1"/>
        <v>723</v>
      </c>
      <c r="F73" s="5" t="s">
        <v>45</v>
      </c>
    </row>
    <row r="74" spans="2:6" ht="27">
      <c r="B74" s="4" t="s">
        <v>153</v>
      </c>
      <c r="C74" s="37" t="s">
        <v>285</v>
      </c>
      <c r="D74" s="4" t="s">
        <v>274</v>
      </c>
      <c r="E74" s="9">
        <f>$F$5*2.5</f>
        <v>1875</v>
      </c>
      <c r="F74" s="4" t="s">
        <v>46</v>
      </c>
    </row>
    <row r="75" spans="2:6" ht="18.75">
      <c r="B75" s="26" t="s">
        <v>32</v>
      </c>
      <c r="C75" s="34"/>
      <c r="D75" s="26"/>
      <c r="E75" s="36"/>
      <c r="F75" s="26"/>
    </row>
    <row r="76" spans="2:6" ht="13.5">
      <c r="B76" s="4" t="s">
        <v>60</v>
      </c>
      <c r="C76" s="28"/>
      <c r="D76" s="4"/>
      <c r="E76" s="29">
        <f>$F$5*2</f>
        <v>1500</v>
      </c>
      <c r="F76" s="4" t="s">
        <v>46</v>
      </c>
    </row>
    <row r="77" spans="2:6" ht="13.5">
      <c r="B77" s="5" t="s">
        <v>83</v>
      </c>
      <c r="C77" s="30" t="s">
        <v>299</v>
      </c>
      <c r="D77" s="5"/>
      <c r="E77" s="31">
        <f>$F$5*3</f>
        <v>2250</v>
      </c>
      <c r="F77" s="5" t="s">
        <v>61</v>
      </c>
    </row>
    <row r="78" spans="2:6" ht="13.5">
      <c r="B78" s="5"/>
      <c r="C78" s="30" t="s">
        <v>300</v>
      </c>
      <c r="D78" s="5"/>
      <c r="E78" s="31">
        <f>$F$5*2</f>
        <v>1500</v>
      </c>
      <c r="F78" s="5" t="s">
        <v>45</v>
      </c>
    </row>
    <row r="79" spans="2:6" ht="13.5">
      <c r="B79" s="4" t="s">
        <v>13</v>
      </c>
      <c r="C79" s="28" t="s">
        <v>301</v>
      </c>
      <c r="D79" s="4"/>
      <c r="E79" s="29">
        <f>$F$5*5</f>
        <v>3750</v>
      </c>
      <c r="F79" s="4" t="s">
        <v>45</v>
      </c>
    </row>
    <row r="80" spans="2:6" ht="13.5">
      <c r="B80" s="5" t="s">
        <v>23</v>
      </c>
      <c r="C80" s="30" t="s">
        <v>302</v>
      </c>
      <c r="D80" s="5"/>
      <c r="E80" s="31">
        <f>$F$5*10</f>
        <v>7500</v>
      </c>
      <c r="F80" s="5" t="s">
        <v>45</v>
      </c>
    </row>
    <row r="81" spans="2:6" ht="13.5">
      <c r="B81" s="4" t="s">
        <v>10</v>
      </c>
      <c r="C81" s="28" t="s">
        <v>303</v>
      </c>
      <c r="D81" s="4"/>
      <c r="E81" s="29">
        <f>$F$5*3</f>
        <v>2250</v>
      </c>
      <c r="F81" s="4" t="s">
        <v>61</v>
      </c>
    </row>
    <row r="82" spans="2:6" ht="18.75">
      <c r="B82" s="26" t="s">
        <v>31</v>
      </c>
      <c r="C82" s="34"/>
      <c r="D82" s="26"/>
      <c r="E82" s="36"/>
      <c r="F82" s="26"/>
    </row>
    <row r="83" spans="2:6" ht="13.5">
      <c r="B83" s="4" t="s">
        <v>60</v>
      </c>
      <c r="C83" s="28"/>
      <c r="D83" s="4"/>
      <c r="E83" s="29">
        <f>$F$5*2</f>
        <v>1500</v>
      </c>
      <c r="F83" s="4" t="s">
        <v>46</v>
      </c>
    </row>
    <row r="84" spans="2:6" ht="13.5">
      <c r="B84" s="5" t="s">
        <v>83</v>
      </c>
      <c r="C84" s="30" t="s">
        <v>299</v>
      </c>
      <c r="D84" s="5"/>
      <c r="E84" s="31">
        <f>$F$5*3</f>
        <v>2250</v>
      </c>
      <c r="F84" s="5" t="s">
        <v>61</v>
      </c>
    </row>
    <row r="85" spans="2:6" ht="13.5">
      <c r="B85" s="5"/>
      <c r="C85" s="30" t="s">
        <v>300</v>
      </c>
      <c r="D85" s="5"/>
      <c r="E85" s="31">
        <f>$F$5*2</f>
        <v>1500</v>
      </c>
      <c r="F85" s="5" t="s">
        <v>45</v>
      </c>
    </row>
    <row r="86" spans="2:6" ht="13.5">
      <c r="B86" s="4" t="s">
        <v>13</v>
      </c>
      <c r="C86" s="28" t="s">
        <v>301</v>
      </c>
      <c r="D86" s="4"/>
      <c r="E86" s="29">
        <f>$F$5*8</f>
        <v>6000</v>
      </c>
      <c r="F86" s="4" t="s">
        <v>45</v>
      </c>
    </row>
    <row r="87" spans="2:6" ht="13.5">
      <c r="B87" s="5" t="s">
        <v>23</v>
      </c>
      <c r="C87" s="30" t="s">
        <v>304</v>
      </c>
      <c r="D87" s="5"/>
      <c r="E87" s="31"/>
      <c r="F87" s="42" t="s">
        <v>305</v>
      </c>
    </row>
    <row r="88" spans="2:6" ht="18.75">
      <c r="B88" s="26" t="s">
        <v>30</v>
      </c>
      <c r="C88" s="34"/>
      <c r="D88" s="26"/>
      <c r="E88" s="36"/>
      <c r="F88" s="43"/>
    </row>
    <row r="89" spans="2:6" ht="13.5">
      <c r="B89" s="4" t="s">
        <v>28</v>
      </c>
      <c r="C89" s="28"/>
      <c r="D89" s="4"/>
      <c r="E89" s="29"/>
      <c r="F89" s="40" t="s">
        <v>283</v>
      </c>
    </row>
    <row r="90" spans="2:6" ht="18.75">
      <c r="B90" s="26" t="s">
        <v>156</v>
      </c>
      <c r="C90" s="34"/>
      <c r="D90" s="26"/>
      <c r="E90" s="36"/>
      <c r="F90" s="35"/>
    </row>
    <row r="91" spans="2:6" ht="13.5">
      <c r="B91" s="4" t="s">
        <v>60</v>
      </c>
      <c r="C91" s="28"/>
      <c r="D91" s="4"/>
      <c r="E91" s="29">
        <f>$F$5*2</f>
        <v>1500</v>
      </c>
      <c r="F91" s="4" t="s">
        <v>46</v>
      </c>
    </row>
    <row r="92" spans="2:6" ht="27">
      <c r="B92" s="5" t="s">
        <v>157</v>
      </c>
      <c r="C92" s="30" t="s">
        <v>178</v>
      </c>
      <c r="D92" s="5"/>
      <c r="E92" s="31">
        <f>$F$5*3.5</f>
        <v>2625</v>
      </c>
      <c r="F92" s="5" t="s">
        <v>45</v>
      </c>
    </row>
    <row r="93" spans="2:6" ht="13.5">
      <c r="B93" s="4" t="s">
        <v>23</v>
      </c>
      <c r="C93" s="28" t="s">
        <v>179</v>
      </c>
      <c r="D93" s="4"/>
      <c r="E93" s="29">
        <f>$F$5*10</f>
        <v>7500</v>
      </c>
      <c r="F93" s="4" t="s">
        <v>45</v>
      </c>
    </row>
    <row r="94" spans="2:6" ht="18.75">
      <c r="B94" s="26" t="s">
        <v>41</v>
      </c>
      <c r="C94" s="34"/>
      <c r="D94" s="26"/>
      <c r="E94" s="36"/>
      <c r="F94" s="35"/>
    </row>
    <row r="95" spans="2:6" ht="13.5">
      <c r="B95" s="4" t="s">
        <v>60</v>
      </c>
      <c r="C95" s="28"/>
      <c r="D95" s="4"/>
      <c r="E95" s="29">
        <f>$F$5*2</f>
        <v>1500</v>
      </c>
      <c r="F95" s="4" t="s">
        <v>46</v>
      </c>
    </row>
    <row r="96" spans="2:6" ht="13.5">
      <c r="B96" s="5" t="s">
        <v>42</v>
      </c>
      <c r="C96" s="30" t="s">
        <v>71</v>
      </c>
      <c r="D96" s="5" t="s">
        <v>180</v>
      </c>
      <c r="E96" s="31">
        <f>$F$5</f>
        <v>750</v>
      </c>
      <c r="F96" s="5" t="s">
        <v>43</v>
      </c>
    </row>
    <row r="97" spans="2:6" ht="13.5">
      <c r="B97" s="4" t="s">
        <v>21</v>
      </c>
      <c r="C97" s="28"/>
      <c r="D97" s="4"/>
      <c r="E97" s="29">
        <f>$F$5*2</f>
        <v>1500</v>
      </c>
      <c r="F97" s="4" t="s">
        <v>57</v>
      </c>
    </row>
    <row r="98" spans="2:6" ht="18.75">
      <c r="B98" s="26" t="s">
        <v>160</v>
      </c>
      <c r="C98" s="34"/>
      <c r="D98" s="26"/>
      <c r="E98" s="36"/>
      <c r="F98" s="43"/>
    </row>
    <row r="99" spans="2:6" ht="13.5">
      <c r="B99" s="4" t="s">
        <v>23</v>
      </c>
      <c r="C99" s="28" t="s">
        <v>161</v>
      </c>
      <c r="D99" s="4"/>
      <c r="E99" s="29"/>
      <c r="F99" s="40" t="s">
        <v>283</v>
      </c>
    </row>
    <row r="100" spans="2:6" ht="18.75">
      <c r="B100" s="26" t="s">
        <v>308</v>
      </c>
      <c r="C100" s="34"/>
      <c r="D100" s="26"/>
      <c r="E100" s="36"/>
      <c r="F100" s="44"/>
    </row>
    <row r="101" spans="2:6" ht="13.5">
      <c r="B101" s="4" t="s">
        <v>195</v>
      </c>
      <c r="C101" s="28" t="s">
        <v>197</v>
      </c>
      <c r="D101" s="4"/>
      <c r="E101" s="29"/>
      <c r="F101" s="40" t="s">
        <v>280</v>
      </c>
    </row>
    <row r="102" spans="2:6" ht="13.5">
      <c r="B102" s="5" t="s">
        <v>98</v>
      </c>
      <c r="C102" s="30" t="s">
        <v>198</v>
      </c>
      <c r="D102" s="5"/>
      <c r="E102" s="31"/>
      <c r="F102" s="42" t="s">
        <v>280</v>
      </c>
    </row>
    <row r="103" spans="2:6" ht="13.5">
      <c r="B103" s="4" t="s">
        <v>99</v>
      </c>
      <c r="C103" s="28" t="s">
        <v>199</v>
      </c>
      <c r="D103" s="4"/>
      <c r="E103" s="29"/>
      <c r="F103" s="40" t="s">
        <v>280</v>
      </c>
    </row>
    <row r="104" spans="2:6" ht="27">
      <c r="B104" s="5" t="s">
        <v>100</v>
      </c>
      <c r="C104" s="30" t="s">
        <v>279</v>
      </c>
      <c r="D104" s="5"/>
      <c r="E104" s="31"/>
      <c r="F104" s="42" t="s">
        <v>280</v>
      </c>
    </row>
    <row r="105" spans="2:6" ht="18.75">
      <c r="B105" s="26" t="s">
        <v>158</v>
      </c>
      <c r="C105" s="34"/>
      <c r="D105" s="26"/>
      <c r="E105" s="36"/>
      <c r="F105" s="44"/>
    </row>
    <row r="106" spans="2:6" ht="13.5">
      <c r="B106" s="4" t="s">
        <v>60</v>
      </c>
      <c r="C106" s="28"/>
      <c r="D106" s="4"/>
      <c r="E106" s="29">
        <f>$F$5*2.5</f>
        <v>1875</v>
      </c>
      <c r="F106" s="40"/>
    </row>
    <row r="107" spans="2:6" ht="13.5">
      <c r="B107" s="5" t="s">
        <v>24</v>
      </c>
      <c r="C107" s="30" t="s">
        <v>215</v>
      </c>
      <c r="D107" s="5"/>
      <c r="E107" s="31"/>
      <c r="F107" s="42" t="s">
        <v>283</v>
      </c>
    </row>
    <row r="108" spans="2:6" ht="13.5">
      <c r="B108" s="4" t="s">
        <v>159</v>
      </c>
      <c r="C108" s="28" t="s">
        <v>216</v>
      </c>
      <c r="D108" s="4"/>
      <c r="E108" s="29"/>
      <c r="F108" s="40" t="s">
        <v>283</v>
      </c>
    </row>
    <row r="109" spans="2:6" ht="18.75">
      <c r="B109" s="26" t="s">
        <v>293</v>
      </c>
      <c r="C109" s="34"/>
      <c r="D109" s="26"/>
      <c r="E109" s="36"/>
      <c r="F109" s="44"/>
    </row>
    <row r="110" spans="2:6" ht="15">
      <c r="B110" s="4" t="s">
        <v>141</v>
      </c>
      <c r="C110" s="45" t="s">
        <v>310</v>
      </c>
      <c r="D110" s="4" t="s">
        <v>62</v>
      </c>
      <c r="E110" s="29">
        <v>335</v>
      </c>
      <c r="F110" s="40"/>
    </row>
    <row r="111" spans="2:6" ht="13.5">
      <c r="B111" s="4"/>
      <c r="C111" s="28" t="s">
        <v>309</v>
      </c>
      <c r="D111" s="4" t="s">
        <v>63</v>
      </c>
      <c r="E111" s="29"/>
      <c r="F111" s="40"/>
    </row>
    <row r="112" spans="2:6" ht="13.5">
      <c r="B112" s="5" t="s">
        <v>142</v>
      </c>
      <c r="C112" s="30" t="s">
        <v>296</v>
      </c>
      <c r="D112" s="5"/>
      <c r="E112" s="31"/>
      <c r="F112" s="42" t="s">
        <v>283</v>
      </c>
    </row>
    <row r="113"/>
    <row r="114"/>
    <row r="115"/>
    <row r="116"/>
    <row r="117"/>
    <row r="118"/>
    <row r="119"/>
    <row r="120"/>
  </sheetData>
  <sheetProtection algorithmName="SHA-512" hashValue="skTo5okb0jzV//hZhutRw0Xc31sR4aKfXPQ+zv/NImGNgvnZEFgd1cFLBIWj3ws8ey4V/ieSWsQ9ZPFysWzM6g==" saltValue="5+TrW/JO5K8DEj9+8IM7Bg==" spinCount="100000" sheet="1" objects="1" scenarios="1"/>
  <mergeCells count="2">
    <mergeCell ref="D5:E5"/>
    <mergeCell ref="B4:D4"/>
  </mergeCells>
  <pageMargins left="0.23622047244094491" right="0.23622047244094491" top="0.74803149606299213" bottom="0.74803149606299213" header="0.31496062992125984" footer="0.31496062992125984"/>
  <pageSetup paperSize="9" scale="58" fitToHeight="0" orientation="landscape" r:id="rId1"/>
  <headerFooter>
    <oddFooter>&amp;C&amp;A (Side &amp;P)</oddFooter>
  </headerFooter>
  <rowBreaks count="1" manualBreakCount="1">
    <brk id="59" max="16383" man="1"/>
  </rowBreaks>
  <ignoredErrors>
    <ignoredError sqref="E96 E84 E77 E44 E64:E65"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3E0B0-9F26-45AA-AFAE-E879A7D11C65}">
  <sheetPr codeName="Ark2">
    <tabColor theme="3" tint="-0.249977111117893"/>
    <pageSetUpPr fitToPage="1"/>
  </sheetPr>
  <dimension ref="B1:L160"/>
  <sheetViews>
    <sheetView showGridLines="0" tabSelected="1" topLeftCell="A19" zoomScaleNormal="100" zoomScaleSheetLayoutView="50" workbookViewId="0">
      <selection activeCell="E39" sqref="E39"/>
    </sheetView>
  </sheetViews>
  <sheetFormatPr defaultColWidth="0" defaultRowHeight="12.75" zeroHeight="1"/>
  <cols>
    <col min="1" max="1" width="5.7109375" customWidth="1"/>
    <col min="2" max="2" width="47.7109375" customWidth="1"/>
    <col min="3" max="3" width="53" customWidth="1"/>
    <col min="4" max="4" width="21.28515625" customWidth="1"/>
    <col min="5" max="5" width="9.85546875" customWidth="1"/>
    <col min="6" max="6" width="12" bestFit="1" customWidth="1"/>
    <col min="7" max="7" width="18.140625" bestFit="1" customWidth="1"/>
    <col min="8" max="8" width="14" bestFit="1" customWidth="1"/>
    <col min="9" max="9" width="21" customWidth="1"/>
    <col min="10" max="10" width="5.7109375" customWidth="1"/>
    <col min="11" max="11" width="10" hidden="1" customWidth="1"/>
    <col min="12" max="12" width="13.85546875" hidden="1" customWidth="1"/>
    <col min="13" max="13" width="0" hidden="1" customWidth="1"/>
  </cols>
  <sheetData>
    <row r="1" spans="2:9" ht="22.5" customHeight="1"/>
    <row r="2" spans="2:9">
      <c r="B2" s="16"/>
      <c r="C2" s="16"/>
      <c r="D2" s="16"/>
      <c r="E2" s="16"/>
      <c r="F2" s="16"/>
      <c r="G2" s="16"/>
      <c r="H2" s="16"/>
      <c r="I2" s="16"/>
    </row>
    <row r="3" spans="2:9" ht="29.25" customHeight="1">
      <c r="B3" s="17" t="s">
        <v>255</v>
      </c>
      <c r="C3" s="17"/>
      <c r="D3" s="18"/>
      <c r="E3" s="19"/>
      <c r="F3" s="17"/>
      <c r="G3" s="17"/>
      <c r="H3" s="18"/>
      <c r="I3" s="20" t="e" vm="1">
        <v>#VALUE!</v>
      </c>
    </row>
    <row r="4" spans="2:9" ht="15" customHeight="1">
      <c r="B4" s="46"/>
      <c r="C4" s="46"/>
      <c r="D4" s="46"/>
      <c r="E4" s="46"/>
      <c r="F4" s="46"/>
      <c r="G4" s="46"/>
      <c r="H4" s="46"/>
      <c r="I4" s="46"/>
    </row>
    <row r="5" spans="2:9" ht="13.5">
      <c r="B5" s="47" t="s">
        <v>281</v>
      </c>
      <c r="C5" s="48"/>
      <c r="D5" s="48"/>
      <c r="E5" s="48"/>
      <c r="F5" s="48"/>
      <c r="G5" s="48"/>
      <c r="H5" s="49" t="s">
        <v>236</v>
      </c>
      <c r="I5" s="7"/>
    </row>
    <row r="6" spans="2:9" ht="13.5">
      <c r="B6" s="47" t="s">
        <v>248</v>
      </c>
      <c r="C6" s="48"/>
      <c r="D6" s="48"/>
      <c r="E6" s="48"/>
      <c r="F6" s="48"/>
      <c r="G6" s="48"/>
      <c r="H6" s="49" t="s">
        <v>237</v>
      </c>
      <c r="I6" s="6"/>
    </row>
    <row r="7" spans="2:9" ht="13.5">
      <c r="B7" s="48" t="s">
        <v>317</v>
      </c>
      <c r="C7" s="48"/>
      <c r="D7" s="48"/>
      <c r="E7" s="48"/>
      <c r="F7" s="48"/>
      <c r="G7" s="48"/>
      <c r="H7" s="48"/>
      <c r="I7" s="48"/>
    </row>
    <row r="8" spans="2:9" ht="22.5" customHeight="1">
      <c r="B8" s="46"/>
      <c r="C8" s="46"/>
      <c r="D8" s="46"/>
      <c r="E8" s="46"/>
      <c r="F8" s="50"/>
      <c r="G8" s="109" t="s">
        <v>86</v>
      </c>
      <c r="H8" s="109"/>
      <c r="I8" s="51">
        <v>750</v>
      </c>
    </row>
    <row r="9" spans="2:9" ht="17.25" customHeight="1">
      <c r="B9" s="3" t="s">
        <v>232</v>
      </c>
      <c r="C9" s="3" t="s">
        <v>241</v>
      </c>
      <c r="D9" s="15" t="s">
        <v>242</v>
      </c>
      <c r="E9" s="15" t="s">
        <v>243</v>
      </c>
      <c r="F9" s="15"/>
      <c r="G9" s="15" t="s">
        <v>244</v>
      </c>
      <c r="H9" s="15" t="s">
        <v>134</v>
      </c>
      <c r="I9" s="15" t="s">
        <v>245</v>
      </c>
    </row>
    <row r="10" spans="2:9" ht="18.75">
      <c r="B10" s="26" t="s">
        <v>40</v>
      </c>
      <c r="C10" s="26"/>
      <c r="D10" s="26"/>
      <c r="E10" s="26"/>
      <c r="F10" s="26"/>
      <c r="G10" s="26"/>
      <c r="H10" s="26"/>
      <c r="I10" s="26"/>
    </row>
    <row r="11" spans="2:9" ht="13.5">
      <c r="B11" s="4" t="s">
        <v>0</v>
      </c>
      <c r="C11" s="4" t="s">
        <v>66</v>
      </c>
      <c r="D11" s="52">
        <f>$I$8</f>
        <v>750</v>
      </c>
      <c r="E11" s="77"/>
      <c r="F11" s="4" t="s">
        <v>1</v>
      </c>
      <c r="G11" s="53">
        <f>D11*E11</f>
        <v>0</v>
      </c>
      <c r="H11" s="53">
        <f t="shared" ref="H11:H16" si="0">G11*0.25</f>
        <v>0</v>
      </c>
      <c r="I11" s="53">
        <f t="shared" ref="I11:I16" si="1">SUM(G11:H11)</f>
        <v>0</v>
      </c>
    </row>
    <row r="12" spans="2:9" ht="13.5">
      <c r="B12" s="5" t="s">
        <v>2</v>
      </c>
      <c r="C12" s="5" t="s">
        <v>55</v>
      </c>
      <c r="D12" s="54">
        <f>$I$8</f>
        <v>750</v>
      </c>
      <c r="E12" s="79"/>
      <c r="F12" s="5" t="s">
        <v>1</v>
      </c>
      <c r="G12" s="55">
        <f>D12*E12</f>
        <v>0</v>
      </c>
      <c r="H12" s="55">
        <f t="shared" si="0"/>
        <v>0</v>
      </c>
      <c r="I12" s="55">
        <f t="shared" si="1"/>
        <v>0</v>
      </c>
    </row>
    <row r="13" spans="2:9" ht="13.5">
      <c r="B13" s="4" t="s">
        <v>3</v>
      </c>
      <c r="C13" s="4" t="s">
        <v>56</v>
      </c>
      <c r="D13" s="52">
        <f>$I$8</f>
        <v>750</v>
      </c>
      <c r="E13" s="77"/>
      <c r="F13" s="4" t="s">
        <v>1</v>
      </c>
      <c r="G13" s="53">
        <f>D13*E13</f>
        <v>0</v>
      </c>
      <c r="H13" s="53">
        <f t="shared" si="0"/>
        <v>0</v>
      </c>
      <c r="I13" s="53">
        <f t="shared" si="1"/>
        <v>0</v>
      </c>
    </row>
    <row r="14" spans="2:9" ht="13.5">
      <c r="B14" s="5" t="s">
        <v>4</v>
      </c>
      <c r="C14" s="5" t="s">
        <v>67</v>
      </c>
      <c r="D14" s="54">
        <f>'PRISLISTE NAT.'!E11</f>
        <v>3.94</v>
      </c>
      <c r="E14" s="79"/>
      <c r="F14" s="5" t="s">
        <v>5</v>
      </c>
      <c r="G14" s="55">
        <f>D14*E14</f>
        <v>0</v>
      </c>
      <c r="H14" s="55">
        <f t="shared" si="0"/>
        <v>0</v>
      </c>
      <c r="I14" s="55">
        <f t="shared" si="1"/>
        <v>0</v>
      </c>
    </row>
    <row r="15" spans="2:9" ht="13.5">
      <c r="B15" s="4" t="s">
        <v>6</v>
      </c>
      <c r="C15" s="4" t="s">
        <v>68</v>
      </c>
      <c r="D15" s="52">
        <f>'PRISLISTE NAT.'!E12</f>
        <v>100</v>
      </c>
      <c r="E15" s="77"/>
      <c r="F15" s="4" t="s">
        <v>7</v>
      </c>
      <c r="G15" s="53">
        <f>D15*E15</f>
        <v>0</v>
      </c>
      <c r="H15" s="53">
        <f t="shared" si="0"/>
        <v>0</v>
      </c>
      <c r="I15" s="53">
        <f t="shared" si="1"/>
        <v>0</v>
      </c>
    </row>
    <row r="16" spans="2:9" ht="13.5">
      <c r="B16" s="5" t="s">
        <v>269</v>
      </c>
      <c r="C16" s="5" t="s">
        <v>270</v>
      </c>
      <c r="D16" s="78"/>
      <c r="E16" s="11" t="s">
        <v>271</v>
      </c>
      <c r="F16" s="5"/>
      <c r="G16" s="55">
        <f>SUM(D16)</f>
        <v>0</v>
      </c>
      <c r="H16" s="55">
        <f t="shared" si="0"/>
        <v>0</v>
      </c>
      <c r="I16" s="55">
        <f t="shared" si="1"/>
        <v>0</v>
      </c>
    </row>
    <row r="17" spans="2:9" ht="15.75">
      <c r="B17" s="8" t="s">
        <v>239</v>
      </c>
      <c r="C17" s="8"/>
      <c r="D17" s="56"/>
      <c r="E17" s="57"/>
      <c r="F17" s="8"/>
      <c r="G17" s="58">
        <f>SUM(G11:G16)</f>
        <v>0</v>
      </c>
      <c r="H17" s="58">
        <f>SUM(H11:H16)</f>
        <v>0</v>
      </c>
      <c r="I17" s="58">
        <f>SUM(I11:I16)</f>
        <v>0</v>
      </c>
    </row>
    <row r="18" spans="2:9" ht="18.75">
      <c r="B18" s="26" t="s">
        <v>39</v>
      </c>
      <c r="C18" s="26"/>
      <c r="D18" s="59"/>
      <c r="E18" s="60"/>
      <c r="F18" s="26"/>
      <c r="G18" s="61"/>
      <c r="H18" s="61"/>
      <c r="I18" s="61"/>
    </row>
    <row r="19" spans="2:9" ht="13.5">
      <c r="B19" s="4" t="s">
        <v>8</v>
      </c>
      <c r="C19" s="4" t="s">
        <v>140</v>
      </c>
      <c r="D19" s="52">
        <v>471</v>
      </c>
      <c r="E19" s="77"/>
      <c r="F19" s="4" t="s">
        <v>9</v>
      </c>
      <c r="G19" s="53">
        <f>D19*E19</f>
        <v>0</v>
      </c>
      <c r="H19" s="53">
        <f>G19*0.25</f>
        <v>0</v>
      </c>
      <c r="I19" s="53">
        <f>SUM(G19:H19)</f>
        <v>0</v>
      </c>
    </row>
    <row r="20" spans="2:9" ht="13.5">
      <c r="B20" s="5" t="s">
        <v>138</v>
      </c>
      <c r="C20" s="5" t="s">
        <v>164</v>
      </c>
      <c r="D20" s="54">
        <f>$D$19*2</f>
        <v>942</v>
      </c>
      <c r="E20" s="79"/>
      <c r="F20" s="5" t="s">
        <v>9</v>
      </c>
      <c r="G20" s="55">
        <f t="shared" ref="G20:G21" si="2">D20*E20</f>
        <v>0</v>
      </c>
      <c r="H20" s="55">
        <f t="shared" ref="H20:H21" si="3">G20*0.25</f>
        <v>0</v>
      </c>
      <c r="I20" s="55">
        <f>SUM(G20:H20)</f>
        <v>0</v>
      </c>
    </row>
    <row r="21" spans="2:9" ht="13.5">
      <c r="B21" s="4" t="s">
        <v>139</v>
      </c>
      <c r="C21" s="4" t="s">
        <v>165</v>
      </c>
      <c r="D21" s="52">
        <f>D19*5</f>
        <v>2355</v>
      </c>
      <c r="E21" s="77"/>
      <c r="F21" s="4" t="s">
        <v>9</v>
      </c>
      <c r="G21" s="53">
        <f t="shared" si="2"/>
        <v>0</v>
      </c>
      <c r="H21" s="53">
        <f t="shared" si="3"/>
        <v>0</v>
      </c>
      <c r="I21" s="53">
        <f t="shared" ref="I21" si="4">SUM(G21:H21)</f>
        <v>0</v>
      </c>
    </row>
    <row r="22" spans="2:9" ht="15.75">
      <c r="B22" s="8" t="s">
        <v>239</v>
      </c>
      <c r="C22" s="8"/>
      <c r="D22" s="56"/>
      <c r="E22" s="57"/>
      <c r="F22" s="8"/>
      <c r="G22" s="58">
        <f>SUM(G19:G21)</f>
        <v>0</v>
      </c>
      <c r="H22" s="58">
        <f>SUM(H19:H21)</f>
        <v>0</v>
      </c>
      <c r="I22" s="58">
        <f>SUM(I19:I21)</f>
        <v>0</v>
      </c>
    </row>
    <row r="23" spans="2:9" ht="18.75">
      <c r="B23" s="26" t="s">
        <v>265</v>
      </c>
      <c r="C23" s="26"/>
      <c r="D23" s="59"/>
      <c r="E23" s="60"/>
      <c r="F23" s="26"/>
      <c r="G23" s="62"/>
      <c r="H23" s="62"/>
      <c r="I23" s="62"/>
    </row>
    <row r="24" spans="2:9" ht="13.5">
      <c r="B24" s="4" t="s">
        <v>219</v>
      </c>
      <c r="C24" s="80" t="s">
        <v>220</v>
      </c>
      <c r="D24" s="52"/>
      <c r="E24" s="63" t="b">
        <v>0</v>
      </c>
      <c r="F24" s="4"/>
      <c r="G24" s="53">
        <f>IF(E24=TRUE(),,IF(E26&gt;0,$I$8*2,))</f>
        <v>0</v>
      </c>
      <c r="H24" s="53">
        <f t="shared" ref="H24" si="5">G24*0.25</f>
        <v>0</v>
      </c>
      <c r="I24" s="53">
        <f t="shared" ref="I24" si="6">SUM(G24:H24)</f>
        <v>0</v>
      </c>
    </row>
    <row r="25" spans="2:9" ht="13.5">
      <c r="B25" s="5" t="s">
        <v>267</v>
      </c>
      <c r="C25" s="5"/>
      <c r="D25" s="54"/>
      <c r="E25" s="11"/>
      <c r="F25" s="5"/>
      <c r="G25" s="55">
        <f>IF(E26&gt;0,1000,)</f>
        <v>0</v>
      </c>
      <c r="H25" s="55">
        <f t="shared" ref="H25:H26" si="7">G25*0.25</f>
        <v>0</v>
      </c>
      <c r="I25" s="55">
        <f t="shared" ref="I25:I26" si="8">SUM(G25:H25)</f>
        <v>0</v>
      </c>
    </row>
    <row r="26" spans="2:9" ht="13.5">
      <c r="B26" s="4" t="s">
        <v>268</v>
      </c>
      <c r="C26" s="4" t="s">
        <v>182</v>
      </c>
      <c r="D26" s="52">
        <f>$I$8*2</f>
        <v>1500</v>
      </c>
      <c r="E26" s="77"/>
      <c r="F26" s="4" t="s">
        <v>1</v>
      </c>
      <c r="G26" s="53">
        <f>D26*E26</f>
        <v>0</v>
      </c>
      <c r="H26" s="53">
        <f t="shared" si="7"/>
        <v>0</v>
      </c>
      <c r="I26" s="53">
        <f t="shared" si="8"/>
        <v>0</v>
      </c>
    </row>
    <row r="27" spans="2:9" ht="15.75">
      <c r="B27" s="8" t="s">
        <v>239</v>
      </c>
      <c r="C27" s="8"/>
      <c r="D27" s="56"/>
      <c r="E27" s="57"/>
      <c r="F27" s="8"/>
      <c r="G27" s="58">
        <f>SUM(G24:G26)</f>
        <v>0</v>
      </c>
      <c r="H27" s="58">
        <f>SUM(H24:H26)</f>
        <v>0</v>
      </c>
      <c r="I27" s="58">
        <f>SUM(I24:I26)</f>
        <v>0</v>
      </c>
    </row>
    <row r="28" spans="2:9" ht="18.75">
      <c r="B28" s="26" t="s">
        <v>38</v>
      </c>
      <c r="C28" s="26"/>
      <c r="D28" s="59"/>
      <c r="E28" s="60"/>
      <c r="F28" s="26"/>
      <c r="G28" s="62"/>
      <c r="H28" s="62"/>
      <c r="I28" s="62"/>
    </row>
    <row r="29" spans="2:9" ht="13.5">
      <c r="B29" s="4" t="s">
        <v>219</v>
      </c>
      <c r="C29" s="80" t="s">
        <v>220</v>
      </c>
      <c r="D29" s="52"/>
      <c r="E29" s="63" t="b">
        <v>0</v>
      </c>
      <c r="F29" s="4"/>
      <c r="G29" s="53">
        <f>IF(E29=TRUE(),,IF(OR(E30&gt;0,E31&gt;0,E32&gt;0,E33&gt;0,E35&gt;0),$I$8*2,))</f>
        <v>0</v>
      </c>
      <c r="H29" s="53">
        <f t="shared" ref="H29:H35" si="9">G29*0.25</f>
        <v>0</v>
      </c>
      <c r="I29" s="53">
        <f t="shared" ref="I29:I35" si="10">SUM(G29:H29)</f>
        <v>0</v>
      </c>
    </row>
    <row r="30" spans="2:9" ht="13.5">
      <c r="B30" s="5" t="s">
        <v>13</v>
      </c>
      <c r="C30" s="5" t="s">
        <v>48</v>
      </c>
      <c r="D30" s="54">
        <f>'PRISLISTE NAT.'!$E$24</f>
        <v>174</v>
      </c>
      <c r="E30" s="79"/>
      <c r="F30" s="5" t="s">
        <v>9</v>
      </c>
      <c r="G30" s="55">
        <f>D30*E30</f>
        <v>0</v>
      </c>
      <c r="H30" s="55">
        <f>G30*0.25</f>
        <v>0</v>
      </c>
      <c r="I30" s="55">
        <f t="shared" si="10"/>
        <v>0</v>
      </c>
    </row>
    <row r="31" spans="2:9" ht="13.5">
      <c r="B31" s="5"/>
      <c r="C31" s="5" t="s">
        <v>289</v>
      </c>
      <c r="D31" s="54">
        <f>'PRISLISTE NAT.'!E25</f>
        <v>1500</v>
      </c>
      <c r="E31" s="79"/>
      <c r="F31" s="5" t="s">
        <v>9</v>
      </c>
      <c r="G31" s="55">
        <f t="shared" ref="G31:G35" si="11">D31*E31</f>
        <v>0</v>
      </c>
      <c r="H31" s="55">
        <f t="shared" si="9"/>
        <v>0</v>
      </c>
      <c r="I31" s="55">
        <f t="shared" si="10"/>
        <v>0</v>
      </c>
    </row>
    <row r="32" spans="2:9" ht="13.5">
      <c r="B32" s="4" t="s">
        <v>84</v>
      </c>
      <c r="C32" s="4" t="s">
        <v>48</v>
      </c>
      <c r="D32" s="52">
        <f>'PRISLISTE NAT.'!E26</f>
        <v>261</v>
      </c>
      <c r="E32" s="77"/>
      <c r="F32" s="4" t="s">
        <v>9</v>
      </c>
      <c r="G32" s="53">
        <f t="shared" si="11"/>
        <v>0</v>
      </c>
      <c r="H32" s="53">
        <f t="shared" si="9"/>
        <v>0</v>
      </c>
      <c r="I32" s="53">
        <f t="shared" si="10"/>
        <v>0</v>
      </c>
    </row>
    <row r="33" spans="2:9" ht="13.5">
      <c r="B33" s="4"/>
      <c r="C33" s="4" t="s">
        <v>289</v>
      </c>
      <c r="D33" s="52">
        <f>'PRISLISTE NAT.'!E27</f>
        <v>2250</v>
      </c>
      <c r="E33" s="77"/>
      <c r="F33" s="4" t="s">
        <v>9</v>
      </c>
      <c r="G33" s="53">
        <f t="shared" si="11"/>
        <v>0</v>
      </c>
      <c r="H33" s="53">
        <f t="shared" si="9"/>
        <v>0</v>
      </c>
      <c r="I33" s="53">
        <f t="shared" si="10"/>
        <v>0</v>
      </c>
    </row>
    <row r="34" spans="2:9" ht="13.5">
      <c r="B34" s="5" t="s">
        <v>14</v>
      </c>
      <c r="C34" s="5"/>
      <c r="D34" s="54">
        <f>'PRISLISTE NAT.'!$E$28</f>
        <v>35</v>
      </c>
      <c r="E34" s="79"/>
      <c r="F34" s="5" t="s">
        <v>9</v>
      </c>
      <c r="G34" s="55">
        <f t="shared" si="11"/>
        <v>0</v>
      </c>
      <c r="H34" s="55">
        <f t="shared" si="9"/>
        <v>0</v>
      </c>
      <c r="I34" s="55">
        <f t="shared" si="10"/>
        <v>0</v>
      </c>
    </row>
    <row r="35" spans="2:9" ht="13.5">
      <c r="B35" s="4" t="s">
        <v>15</v>
      </c>
      <c r="C35" s="4" t="s">
        <v>182</v>
      </c>
      <c r="D35" s="52">
        <f>I8</f>
        <v>750</v>
      </c>
      <c r="E35" s="77"/>
      <c r="F35" s="4" t="s">
        <v>1</v>
      </c>
      <c r="G35" s="53">
        <f t="shared" si="11"/>
        <v>0</v>
      </c>
      <c r="H35" s="53">
        <f t="shared" si="9"/>
        <v>0</v>
      </c>
      <c r="I35" s="53">
        <f t="shared" si="10"/>
        <v>0</v>
      </c>
    </row>
    <row r="36" spans="2:9" ht="13.5">
      <c r="B36" s="4"/>
      <c r="C36" s="4"/>
      <c r="D36" s="52"/>
      <c r="E36" s="12" t="s">
        <v>249</v>
      </c>
      <c r="F36" s="4"/>
      <c r="G36" s="53">
        <f>'PRISOVERSLAG ARKÆO.'!E19</f>
        <v>0</v>
      </c>
      <c r="H36" s="53">
        <f>'PRISOVERSLAG ARKÆO.'!F19</f>
        <v>0</v>
      </c>
      <c r="I36" s="53">
        <f>'PRISOVERSLAG ARKÆO.'!G19</f>
        <v>0</v>
      </c>
    </row>
    <row r="37" spans="2:9" ht="15.75">
      <c r="B37" s="8" t="s">
        <v>239</v>
      </c>
      <c r="C37" s="8"/>
      <c r="D37" s="56"/>
      <c r="E37" s="57"/>
      <c r="F37" s="8"/>
      <c r="G37" s="58">
        <f>SUM(G29:G36)</f>
        <v>0</v>
      </c>
      <c r="H37" s="58">
        <f>SUM(H29:H36)</f>
        <v>0</v>
      </c>
      <c r="I37" s="58">
        <f>SUM(I29:I36)</f>
        <v>0</v>
      </c>
    </row>
    <row r="38" spans="2:9" ht="18.75">
      <c r="B38" s="26" t="s">
        <v>37</v>
      </c>
      <c r="C38" s="26"/>
      <c r="D38" s="59"/>
      <c r="E38" s="60"/>
      <c r="F38" s="26"/>
      <c r="G38" s="62"/>
      <c r="H38" s="62"/>
      <c r="I38" s="62"/>
    </row>
    <row r="39" spans="2:9" ht="13.5">
      <c r="B39" s="4" t="s">
        <v>16</v>
      </c>
      <c r="C39" s="4" t="s">
        <v>162</v>
      </c>
      <c r="D39" s="52" t="str">
        <f>'PRISLISTE NAT.'!$E$34&amp;"-"&amp;'PRISLISTE NAT.'!$E$32&amp;" kr."</f>
        <v>723-869 kr.</v>
      </c>
      <c r="E39" s="77"/>
      <c r="F39" s="4" t="s">
        <v>9</v>
      </c>
      <c r="G39" s="53">
        <f>IF(E39=1,'PRISLISTE NAT.'!E32,IF(E39=2,('PRISLISTE NAT.'!E32+'PRISLISTE NAT.'!E33),IF(E39=3,('PRISLISTE NAT.'!E32+'PRISLISTE NAT.'!E33+'PRISLISTE NAT.'!E33),IF(AND(E39&gt;3,E39&lt;100),('PRISLISTE NAT.'!E32+'PRISLISTE NAT.'!E33+'PRISLISTE NAT.'!E33+((E39-3)*'PRISLISTE NAT.'!E34)),IF(E39&gt;=100,(('PRISLISTE NAT.'!E32+'PRISLISTE NAT.'!E33+'PRISLISTE NAT.'!E33+(E39-3)*'PRISLISTE NAT.'!E34)*0.8),)))))</f>
        <v>0</v>
      </c>
      <c r="H39" s="53">
        <f>G39*0.25</f>
        <v>0</v>
      </c>
      <c r="I39" s="53">
        <f t="shared" ref="I39" si="12">SUM(G39:H39)</f>
        <v>0</v>
      </c>
    </row>
    <row r="40" spans="2:9" ht="13.5">
      <c r="B40" s="5" t="s">
        <v>85</v>
      </c>
      <c r="C40" s="5"/>
      <c r="D40" s="54" t="str">
        <f>'PRISLISTE NAT.'!$E$37&amp;"-"&amp;'PRISLISTE NAT.'!$E$35&amp;" kr."</f>
        <v>1084,5-1303,5 kr.</v>
      </c>
      <c r="E40" s="79"/>
      <c r="F40" s="5" t="s">
        <v>9</v>
      </c>
      <c r="G40" s="55">
        <f>IF(E40=1,'PRISLISTE NAT.'!E35,IF(E40=2,('PRISLISTE NAT.'!E35+'PRISLISTE NAT.'!E36),IF(E40=3,('PRISLISTE NAT.'!E35+'PRISLISTE NAT.'!E36*2),IF(E40&gt;3,('PRISLISTE NAT.'!E35+'PRISLISTE NAT.'!E36*2+(E40-3)*'PRISLISTE NAT.'!E37),))))</f>
        <v>0</v>
      </c>
      <c r="H40" s="55">
        <f t="shared" ref="H40:H42" si="13">G40*0.25</f>
        <v>0</v>
      </c>
      <c r="I40" s="55">
        <f t="shared" ref="I40:I42" si="14">SUM(G40:H40)</f>
        <v>0</v>
      </c>
    </row>
    <row r="41" spans="2:9" ht="13.5">
      <c r="B41" s="4" t="s">
        <v>17</v>
      </c>
      <c r="C41" s="4" t="s">
        <v>18</v>
      </c>
      <c r="D41" s="52">
        <f>'PRISLISTE NAT.'!E38</f>
        <v>3000</v>
      </c>
      <c r="E41" s="77"/>
      <c r="F41" s="4" t="s">
        <v>9</v>
      </c>
      <c r="G41" s="53">
        <f>D41*E41</f>
        <v>0</v>
      </c>
      <c r="H41" s="53">
        <f t="shared" si="13"/>
        <v>0</v>
      </c>
      <c r="I41" s="53">
        <f t="shared" si="14"/>
        <v>0</v>
      </c>
    </row>
    <row r="42" spans="2:9" ht="13.5">
      <c r="B42" s="4"/>
      <c r="C42" s="4" t="s">
        <v>19</v>
      </c>
      <c r="D42" s="52">
        <f>'PRISLISTE NAT.'!E39</f>
        <v>4500</v>
      </c>
      <c r="E42" s="77"/>
      <c r="F42" s="4" t="s">
        <v>9</v>
      </c>
      <c r="G42" s="53">
        <f>D42*E42</f>
        <v>0</v>
      </c>
      <c r="H42" s="53">
        <f t="shared" si="13"/>
        <v>0</v>
      </c>
      <c r="I42" s="53">
        <f t="shared" si="14"/>
        <v>0</v>
      </c>
    </row>
    <row r="43" spans="2:9" ht="13.5">
      <c r="B43" s="5" t="s">
        <v>74</v>
      </c>
      <c r="C43" s="5"/>
      <c r="D43" s="54">
        <f>'PRISLISTE NAT.'!$E$40</f>
        <v>32</v>
      </c>
      <c r="E43" s="79"/>
      <c r="F43" s="5" t="s">
        <v>9</v>
      </c>
      <c r="G43" s="55">
        <f>D43*E43</f>
        <v>0</v>
      </c>
      <c r="H43" s="55">
        <f t="shared" ref="H43" si="15">G43*0.25</f>
        <v>0</v>
      </c>
      <c r="I43" s="55">
        <f t="shared" ref="I43" si="16">SUM(G43:H43)</f>
        <v>0</v>
      </c>
    </row>
    <row r="44" spans="2:9" ht="13.5">
      <c r="B44" s="4" t="s">
        <v>294</v>
      </c>
      <c r="C44" s="4"/>
      <c r="D44" s="52">
        <f>'PRISLISTE NAT.'!E110</f>
        <v>335</v>
      </c>
      <c r="E44" s="77"/>
      <c r="F44" s="4" t="s">
        <v>88</v>
      </c>
      <c r="G44" s="53"/>
      <c r="H44" s="53"/>
      <c r="I44" s="53" t="s">
        <v>295</v>
      </c>
    </row>
    <row r="45" spans="2:9" ht="15.75">
      <c r="B45" s="8" t="s">
        <v>239</v>
      </c>
      <c r="C45" s="8"/>
      <c r="D45" s="56"/>
      <c r="E45" s="57"/>
      <c r="F45" s="8"/>
      <c r="G45" s="58">
        <f>SUM(G39:G43)</f>
        <v>0</v>
      </c>
      <c r="H45" s="58">
        <f>SUM(H39:H43)</f>
        <v>0</v>
      </c>
      <c r="I45" s="58">
        <f>SUM(I39:I43)</f>
        <v>0</v>
      </c>
    </row>
    <row r="46" spans="2:9" ht="18.75">
      <c r="B46" s="26" t="s">
        <v>36</v>
      </c>
      <c r="C46" s="26"/>
      <c r="D46" s="59"/>
      <c r="E46" s="60"/>
      <c r="F46" s="26"/>
      <c r="G46" s="62"/>
      <c r="H46" s="62"/>
      <c r="I46" s="62"/>
    </row>
    <row r="47" spans="2:9" ht="13.5">
      <c r="B47" s="4" t="s">
        <v>12</v>
      </c>
      <c r="C47" s="80" t="s">
        <v>220</v>
      </c>
      <c r="D47" s="52"/>
      <c r="E47" s="63" t="b">
        <v>0</v>
      </c>
      <c r="F47" s="4"/>
      <c r="G47" s="53">
        <f>IF(E47=TRUE(),,IF(OR(E48&gt;0,E49&gt;0),$I$8*2,))</f>
        <v>0</v>
      </c>
      <c r="H47" s="53">
        <f t="shared" ref="H47:H50" si="17">G47*0.25</f>
        <v>0</v>
      </c>
      <c r="I47" s="53">
        <f t="shared" ref="I47:I50" si="18">SUM(G47:H47)</f>
        <v>0</v>
      </c>
    </row>
    <row r="48" spans="2:9" ht="13.5">
      <c r="B48" s="5" t="s">
        <v>226</v>
      </c>
      <c r="C48" s="5" t="s">
        <v>70</v>
      </c>
      <c r="D48" s="54">
        <f>$I$8*2</f>
        <v>1500</v>
      </c>
      <c r="E48" s="79"/>
      <c r="F48" s="5" t="s">
        <v>9</v>
      </c>
      <c r="G48" s="55">
        <f>D48*E48</f>
        <v>0</v>
      </c>
      <c r="H48" s="55">
        <f t="shared" si="17"/>
        <v>0</v>
      </c>
      <c r="I48" s="55">
        <f t="shared" si="18"/>
        <v>0</v>
      </c>
    </row>
    <row r="49" spans="2:9" ht="13.5">
      <c r="B49" s="4" t="s">
        <v>20</v>
      </c>
      <c r="C49" s="4" t="s">
        <v>71</v>
      </c>
      <c r="D49" s="52">
        <f>$I$8*6</f>
        <v>4500</v>
      </c>
      <c r="E49" s="77"/>
      <c r="F49" s="4" t="s">
        <v>9</v>
      </c>
      <c r="G49" s="53">
        <f>D49*E49</f>
        <v>0</v>
      </c>
      <c r="H49" s="53">
        <f t="shared" si="17"/>
        <v>0</v>
      </c>
      <c r="I49" s="53">
        <f t="shared" si="18"/>
        <v>0</v>
      </c>
    </row>
    <row r="50" spans="2:9" ht="13.5">
      <c r="B50" s="5" t="s">
        <v>21</v>
      </c>
      <c r="C50" s="5"/>
      <c r="D50" s="54"/>
      <c r="E50" s="11"/>
      <c r="F50" s="5"/>
      <c r="G50" s="55">
        <f>IF(E49="",,IF(E49&lt;5,$I$8*2,IF(AND(E49&lt;10,E49&gt;4),$I$8*8,IF(AND(E49&gt;9,E49&lt;31),$I$8*16,IF(E49&gt;30,$I$8*24,)))))</f>
        <v>0</v>
      </c>
      <c r="H50" s="55">
        <f t="shared" si="17"/>
        <v>0</v>
      </c>
      <c r="I50" s="55">
        <f t="shared" si="18"/>
        <v>0</v>
      </c>
    </row>
    <row r="51" spans="2:9" ht="15.75">
      <c r="B51" s="8" t="s">
        <v>239</v>
      </c>
      <c r="C51" s="8"/>
      <c r="D51" s="56"/>
      <c r="E51" s="57"/>
      <c r="F51" s="8"/>
      <c r="G51" s="58">
        <f>SUM(G47:G50)</f>
        <v>0</v>
      </c>
      <c r="H51" s="58">
        <f>SUM(H47:H50)</f>
        <v>0</v>
      </c>
      <c r="I51" s="58">
        <f>SUM(I47:I50)</f>
        <v>0</v>
      </c>
    </row>
    <row r="52" spans="2:9" ht="18.75">
      <c r="B52" s="26" t="s">
        <v>35</v>
      </c>
      <c r="C52" s="26"/>
      <c r="D52" s="59"/>
      <c r="E52" s="60"/>
      <c r="F52" s="26"/>
      <c r="G52" s="62"/>
      <c r="H52" s="62"/>
      <c r="I52" s="62"/>
    </row>
    <row r="53" spans="2:9" ht="13.5">
      <c r="B53" s="4" t="s">
        <v>22</v>
      </c>
      <c r="C53" s="4" t="s">
        <v>54</v>
      </c>
      <c r="D53" s="52" t="str">
        <f>'PRISLISTE NAT.'!$E$52&amp;"-"&amp;'PRISLISTE NAT.'!$E$50&amp;" kr."</f>
        <v>1125-1500 kr.</v>
      </c>
      <c r="E53" s="77"/>
      <c r="F53" s="4" t="s">
        <v>9</v>
      </c>
      <c r="G53" s="53">
        <f>IF(E53=1,($I$8*2),IF(E53=2,(($I$8*2)+($I$8*1.75)),IF(E53=3,((($I$8*2)+($I$8*1.75)+($I$8*1.75))),IF(E53&gt;3,((($I$8*2)+($I$8*1.75)+($I$8*1.75))+(E53-3)*($I$8*1.5)),))))</f>
        <v>0</v>
      </c>
      <c r="H53" s="53">
        <f t="shared" ref="H53" si="19">G53*0.25</f>
        <v>0</v>
      </c>
      <c r="I53" s="53">
        <f t="shared" ref="I53" si="20">SUM(G53:H53)</f>
        <v>0</v>
      </c>
    </row>
    <row r="54" spans="2:9" ht="15.75">
      <c r="B54" s="8" t="s">
        <v>239</v>
      </c>
      <c r="C54" s="8"/>
      <c r="D54" s="56"/>
      <c r="E54" s="57"/>
      <c r="F54" s="8"/>
      <c r="G54" s="58">
        <f>SUM(G53:G53)</f>
        <v>0</v>
      </c>
      <c r="H54" s="58">
        <f>SUM(H53:H53)</f>
        <v>0</v>
      </c>
      <c r="I54" s="58">
        <f>SUM(I53:I53)</f>
        <v>0</v>
      </c>
    </row>
    <row r="55" spans="2:9" ht="18.75">
      <c r="B55" s="26" t="s">
        <v>34</v>
      </c>
      <c r="C55" s="26"/>
      <c r="D55" s="59"/>
      <c r="E55" s="60"/>
      <c r="F55" s="26"/>
      <c r="G55" s="62"/>
      <c r="H55" s="62"/>
      <c r="I55" s="62"/>
    </row>
    <row r="56" spans="2:9" ht="13.5">
      <c r="B56" s="4" t="s">
        <v>144</v>
      </c>
      <c r="C56" s="80" t="s">
        <v>220</v>
      </c>
      <c r="D56" s="52"/>
      <c r="E56" s="63" t="b">
        <v>0</v>
      </c>
      <c r="F56" s="4"/>
      <c r="G56" s="53">
        <f>IF(E56=TRUE(),,IF(OR(E57&gt;0,E59&gt;0,E60&gt;0),$I$8*2,))</f>
        <v>0</v>
      </c>
      <c r="H56" s="53">
        <f t="shared" ref="H56:H57" si="21">G56*0.25</f>
        <v>0</v>
      </c>
      <c r="I56" s="53">
        <f t="shared" ref="I56:I60" si="22">SUM(G56:H56)</f>
        <v>0</v>
      </c>
    </row>
    <row r="57" spans="2:9" ht="13.5">
      <c r="B57" s="5" t="s">
        <v>13</v>
      </c>
      <c r="C57" s="5" t="s">
        <v>298</v>
      </c>
      <c r="D57" s="54">
        <f>'PRISLISTE NAT.'!E55</f>
        <v>375</v>
      </c>
      <c r="E57" s="79"/>
      <c r="F57" s="5" t="s">
        <v>9</v>
      </c>
      <c r="G57" s="55">
        <f>D57*E57</f>
        <v>0</v>
      </c>
      <c r="H57" s="55">
        <f t="shared" si="21"/>
        <v>0</v>
      </c>
      <c r="I57" s="55">
        <f t="shared" si="22"/>
        <v>0</v>
      </c>
    </row>
    <row r="58" spans="2:9" ht="13.5">
      <c r="B58" s="4" t="s">
        <v>64</v>
      </c>
      <c r="C58" s="4" t="s">
        <v>167</v>
      </c>
      <c r="D58" s="52"/>
      <c r="E58" s="12"/>
      <c r="F58" s="4"/>
      <c r="G58" s="53">
        <f>IF(OR(E59&gt;0,E60&gt;0),$I$8*2,)</f>
        <v>0</v>
      </c>
      <c r="H58" s="53">
        <f>G58*0.25</f>
        <v>0</v>
      </c>
      <c r="I58" s="53">
        <f t="shared" si="22"/>
        <v>0</v>
      </c>
    </row>
    <row r="59" spans="2:9" ht="13.5">
      <c r="B59" s="4"/>
      <c r="C59" s="4" t="s">
        <v>145</v>
      </c>
      <c r="D59" s="52">
        <f>'PRISLISTE NAT.'!E57</f>
        <v>1500</v>
      </c>
      <c r="E59" s="77"/>
      <c r="F59" s="4" t="s">
        <v>9</v>
      </c>
      <c r="G59" s="53">
        <f>D59*E59</f>
        <v>0</v>
      </c>
      <c r="H59" s="53">
        <f>G59*0.25</f>
        <v>0</v>
      </c>
      <c r="I59" s="53">
        <f t="shared" si="22"/>
        <v>0</v>
      </c>
    </row>
    <row r="60" spans="2:9" ht="13.5">
      <c r="B60" s="4"/>
      <c r="C60" s="4" t="s">
        <v>146</v>
      </c>
      <c r="D60" s="52">
        <f>'PRISLISTE NAT.'!E58</f>
        <v>750</v>
      </c>
      <c r="E60" s="77"/>
      <c r="F60" s="4" t="s">
        <v>9</v>
      </c>
      <c r="G60" s="53">
        <f>D60*E60</f>
        <v>0</v>
      </c>
      <c r="H60" s="53">
        <f t="shared" ref="H60" si="23">G60*0.25</f>
        <v>0</v>
      </c>
      <c r="I60" s="53">
        <f t="shared" si="22"/>
        <v>0</v>
      </c>
    </row>
    <row r="61" spans="2:9" ht="15.75">
      <c r="B61" s="8" t="s">
        <v>239</v>
      </c>
      <c r="C61" s="8"/>
      <c r="D61" s="56"/>
      <c r="E61" s="57"/>
      <c r="F61" s="8"/>
      <c r="G61" s="58">
        <f>SUM(G56:G60)</f>
        <v>0</v>
      </c>
      <c r="H61" s="58">
        <f>SUM(H56:H60)</f>
        <v>0</v>
      </c>
      <c r="I61" s="58">
        <f>SUM(I56:I60)</f>
        <v>0</v>
      </c>
    </row>
    <row r="62" spans="2:9" ht="18.75">
      <c r="B62" s="26" t="s">
        <v>33</v>
      </c>
      <c r="C62" s="26"/>
      <c r="D62" s="59"/>
      <c r="E62" s="60"/>
      <c r="F62" s="26"/>
      <c r="G62" s="62"/>
      <c r="H62" s="62"/>
      <c r="I62" s="62"/>
    </row>
    <row r="63" spans="2:9" ht="13.5">
      <c r="B63" s="4" t="s">
        <v>12</v>
      </c>
      <c r="C63" s="80" t="s">
        <v>220</v>
      </c>
      <c r="D63" s="52"/>
      <c r="E63" s="63" t="b">
        <v>0</v>
      </c>
      <c r="F63" s="4"/>
      <c r="G63" s="53">
        <f>IF(E63=TRUE(),,IF(OR(E64&gt;0,E65&gt;0,E66&gt;0,E67&gt;0,E68&gt;0,E69&gt;0,E70&gt;0,E72&gt;0,,E74&gt;0,E71&gt;0,E73&gt;0),$I$8*2,))</f>
        <v>0</v>
      </c>
      <c r="H63" s="53">
        <f>G63*0.25</f>
        <v>0</v>
      </c>
      <c r="I63" s="53">
        <f>SUM(G63:H63)</f>
        <v>0</v>
      </c>
    </row>
    <row r="64" spans="2:9" ht="13.5">
      <c r="B64" s="5" t="s">
        <v>273</v>
      </c>
      <c r="C64" s="5" t="s">
        <v>272</v>
      </c>
      <c r="D64" s="54">
        <f>'PRISLISTE NAT.'!E62</f>
        <v>750</v>
      </c>
      <c r="E64" s="79"/>
      <c r="F64" s="5" t="s">
        <v>1</v>
      </c>
      <c r="G64" s="55">
        <f t="shared" ref="G64:G69" si="24">D64*E64</f>
        <v>0</v>
      </c>
      <c r="H64" s="55">
        <f t="shared" ref="H64:H74" si="25">G64*0.25</f>
        <v>0</v>
      </c>
      <c r="I64" s="55">
        <f t="shared" ref="I64:I74" si="26">SUM(G64:H64)</f>
        <v>0</v>
      </c>
    </row>
    <row r="65" spans="2:9" ht="13.5">
      <c r="B65" s="5"/>
      <c r="C65" s="5" t="s">
        <v>333</v>
      </c>
      <c r="D65" s="54">
        <f>'PRISLISTE NAT.'!E63</f>
        <v>750</v>
      </c>
      <c r="E65" s="79"/>
      <c r="F65" s="5" t="s">
        <v>1</v>
      </c>
      <c r="G65" s="55">
        <f t="shared" si="24"/>
        <v>0</v>
      </c>
      <c r="H65" s="55">
        <f t="shared" si="25"/>
        <v>0</v>
      </c>
      <c r="I65" s="55">
        <f t="shared" si="26"/>
        <v>0</v>
      </c>
    </row>
    <row r="66" spans="2:9" ht="13.5">
      <c r="B66" s="5"/>
      <c r="C66" s="5" t="s">
        <v>319</v>
      </c>
      <c r="D66" s="54">
        <f>'PRISLISTE NAT.'!E64</f>
        <v>1125</v>
      </c>
      <c r="E66" s="79"/>
      <c r="F66" s="5" t="s">
        <v>275</v>
      </c>
      <c r="G66" s="55">
        <f t="shared" si="24"/>
        <v>0</v>
      </c>
      <c r="H66" s="55">
        <f t="shared" si="25"/>
        <v>0</v>
      </c>
      <c r="I66" s="55">
        <f t="shared" si="26"/>
        <v>0</v>
      </c>
    </row>
    <row r="67" spans="2:9" ht="13.5">
      <c r="B67" s="5"/>
      <c r="C67" s="5" t="s">
        <v>23</v>
      </c>
      <c r="D67" s="54">
        <f>'PRISLISTE NAT.'!E65</f>
        <v>750</v>
      </c>
      <c r="E67" s="79"/>
      <c r="F67" s="5" t="s">
        <v>1</v>
      </c>
      <c r="G67" s="55">
        <f t="shared" si="24"/>
        <v>0</v>
      </c>
      <c r="H67" s="55">
        <f t="shared" ref="H67" si="27">G67*0.25</f>
        <v>0</v>
      </c>
      <c r="I67" s="55">
        <f t="shared" ref="I67" si="28">SUM(G67:H67)</f>
        <v>0</v>
      </c>
    </row>
    <row r="68" spans="2:9" ht="13.5">
      <c r="B68" s="4" t="s">
        <v>343</v>
      </c>
      <c r="C68" s="4" t="s">
        <v>319</v>
      </c>
      <c r="D68" s="52">
        <f>'PRISLISTE NAT.'!E66</f>
        <v>1125</v>
      </c>
      <c r="E68" s="77"/>
      <c r="F68" s="4" t="s">
        <v>275</v>
      </c>
      <c r="G68" s="53">
        <f t="shared" si="24"/>
        <v>0</v>
      </c>
      <c r="H68" s="53">
        <f t="shared" si="25"/>
        <v>0</v>
      </c>
      <c r="I68" s="53">
        <f t="shared" si="26"/>
        <v>0</v>
      </c>
    </row>
    <row r="69" spans="2:9" ht="13.5">
      <c r="B69" s="4"/>
      <c r="C69" s="4" t="s">
        <v>330</v>
      </c>
      <c r="D69" s="52">
        <f>'PRISLISTE NAT.'!E67</f>
        <v>2250</v>
      </c>
      <c r="E69" s="77"/>
      <c r="F69" s="4" t="s">
        <v>275</v>
      </c>
      <c r="G69" s="53">
        <f t="shared" si="24"/>
        <v>0</v>
      </c>
      <c r="H69" s="53">
        <f t="shared" si="25"/>
        <v>0</v>
      </c>
      <c r="I69" s="53">
        <f t="shared" si="26"/>
        <v>0</v>
      </c>
    </row>
    <row r="70" spans="2:9" ht="13.5">
      <c r="B70" s="4"/>
      <c r="C70" s="4" t="s">
        <v>331</v>
      </c>
      <c r="D70" s="52">
        <f>'PRISLISTE NAT.'!E68</f>
        <v>3000</v>
      </c>
      <c r="E70" s="79"/>
      <c r="F70" s="4" t="s">
        <v>275</v>
      </c>
      <c r="G70" s="53">
        <f t="shared" ref="G70:G74" si="29">D70*E70</f>
        <v>0</v>
      </c>
      <c r="H70" s="53">
        <f t="shared" si="25"/>
        <v>0</v>
      </c>
      <c r="I70" s="53">
        <f t="shared" si="26"/>
        <v>0</v>
      </c>
    </row>
    <row r="71" spans="2:9" ht="13.5">
      <c r="B71" s="4"/>
      <c r="C71" s="4" t="s">
        <v>348</v>
      </c>
      <c r="D71" s="52">
        <f>'PRISLISTE NAT.'!E69</f>
        <v>3000</v>
      </c>
      <c r="E71" s="79"/>
      <c r="F71" s="4" t="s">
        <v>276</v>
      </c>
      <c r="G71" s="53">
        <f t="shared" si="29"/>
        <v>0</v>
      </c>
      <c r="H71" s="53">
        <f t="shared" si="25"/>
        <v>0</v>
      </c>
      <c r="I71" s="53">
        <f t="shared" si="26"/>
        <v>0</v>
      </c>
    </row>
    <row r="72" spans="2:9" ht="13.5">
      <c r="B72" s="4"/>
      <c r="C72" s="4" t="s">
        <v>332</v>
      </c>
      <c r="D72" s="52">
        <f>'PRISLISTE NAT.'!E70</f>
        <v>1500</v>
      </c>
      <c r="E72" s="79"/>
      <c r="F72" s="4" t="s">
        <v>276</v>
      </c>
      <c r="G72" s="53">
        <f t="shared" si="29"/>
        <v>0</v>
      </c>
      <c r="H72" s="53">
        <f t="shared" si="25"/>
        <v>0</v>
      </c>
      <c r="I72" s="53">
        <f t="shared" si="26"/>
        <v>0</v>
      </c>
    </row>
    <row r="73" spans="2:9" ht="13.5">
      <c r="B73" s="5" t="s">
        <v>334</v>
      </c>
      <c r="C73" s="5" t="s">
        <v>277</v>
      </c>
      <c r="D73" s="54" t="str">
        <f>'PRISLISTE NAT.'!$E$34&amp;"-"&amp;'PRISLISTE NAT.'!$E$32&amp;" kr."</f>
        <v>723-869 kr.</v>
      </c>
      <c r="E73" s="77"/>
      <c r="F73" s="5" t="s">
        <v>9</v>
      </c>
      <c r="G73" s="55">
        <f>IF(E73=1,'PRISLISTE NAT.'!E32,IF(E73=2,('PRISLISTE NAT.'!E32+'PRISLISTE NAT.'!E33),IF(E73=3,('PRISLISTE NAT.'!E32+'PRISLISTE NAT.'!E33+'PRISLISTE NAT.'!E33),IF(AND(E73&gt;3,E73&lt;100),('PRISLISTE NAT.'!E32+'PRISLISTE NAT.'!E33+'PRISLISTE NAT.'!E33+((E73-3)*'PRISLISTE NAT.'!E34)),IF(E73&gt;=100,(('PRISLISTE NAT.'!E32+'PRISLISTE NAT.'!E33+'PRISLISTE NAT.'!E33+(E73-3)*'PRISLISTE NAT.'!E34)*0.8),)))))</f>
        <v>0</v>
      </c>
      <c r="H73" s="55">
        <f>G73*0.25</f>
        <v>0</v>
      </c>
      <c r="I73" s="55">
        <f t="shared" ref="I73" si="30">SUM(G73:H73)</f>
        <v>0</v>
      </c>
    </row>
    <row r="74" spans="2:9" ht="13.5">
      <c r="B74" s="4" t="s">
        <v>153</v>
      </c>
      <c r="C74" s="4" t="s">
        <v>155</v>
      </c>
      <c r="D74" s="52">
        <f>'PRISLISTE NAT.'!E74</f>
        <v>1875</v>
      </c>
      <c r="E74" s="79"/>
      <c r="F74" s="4" t="s">
        <v>154</v>
      </c>
      <c r="G74" s="53">
        <f t="shared" si="29"/>
        <v>0</v>
      </c>
      <c r="H74" s="53">
        <f t="shared" si="25"/>
        <v>0</v>
      </c>
      <c r="I74" s="53">
        <f t="shared" si="26"/>
        <v>0</v>
      </c>
    </row>
    <row r="75" spans="2:9" ht="15.75">
      <c r="B75" s="8" t="s">
        <v>239</v>
      </c>
      <c r="C75" s="8"/>
      <c r="D75" s="56"/>
      <c r="E75" s="57"/>
      <c r="F75" s="8"/>
      <c r="G75" s="58">
        <f>SUM(G63:G74)</f>
        <v>0</v>
      </c>
      <c r="H75" s="58">
        <f>SUM(H63:H74)</f>
        <v>0</v>
      </c>
      <c r="I75" s="58">
        <f>SUM(I63:I74)</f>
        <v>0</v>
      </c>
    </row>
    <row r="76" spans="2:9" ht="18.75">
      <c r="B76" s="26" t="s">
        <v>32</v>
      </c>
      <c r="C76" s="26"/>
      <c r="D76" s="59"/>
      <c r="E76" s="60"/>
      <c r="F76" s="26"/>
      <c r="G76" s="62"/>
      <c r="H76" s="62"/>
      <c r="I76" s="62"/>
    </row>
    <row r="77" spans="2:9" ht="13.5">
      <c r="B77" s="4" t="s">
        <v>12</v>
      </c>
      <c r="C77" s="80" t="s">
        <v>220</v>
      </c>
      <c r="D77" s="52"/>
      <c r="E77" s="63" t="b">
        <v>0</v>
      </c>
      <c r="F77" s="4"/>
      <c r="G77" s="53">
        <f>IF(E77=TRUE(),,IF(OR(E80&gt;0,E81&gt;0,E79&gt;0,E78&gt;0,E82&gt;0),$I$8*2,))</f>
        <v>0</v>
      </c>
      <c r="H77" s="53">
        <f>G77*0.25</f>
        <v>0</v>
      </c>
      <c r="I77" s="53">
        <f t="shared" ref="I77:I81" si="31">SUM(G77:H77)</f>
        <v>0</v>
      </c>
    </row>
    <row r="78" spans="2:9" ht="13.5">
      <c r="B78" s="5" t="s">
        <v>83</v>
      </c>
      <c r="C78" s="5" t="s">
        <v>299</v>
      </c>
      <c r="D78" s="54">
        <f>$I$8*3</f>
        <v>2250</v>
      </c>
      <c r="E78" s="79"/>
      <c r="F78" s="5" t="s">
        <v>11</v>
      </c>
      <c r="G78" s="55">
        <f>D78*E78</f>
        <v>0</v>
      </c>
      <c r="H78" s="55">
        <f t="shared" ref="H78:H79" si="32">G78*0.25</f>
        <v>0</v>
      </c>
      <c r="I78" s="55">
        <f t="shared" ref="I78:I79" si="33">SUM(G78:H78)</f>
        <v>0</v>
      </c>
    </row>
    <row r="79" spans="2:9" ht="13.5">
      <c r="B79" s="5"/>
      <c r="C79" s="5" t="s">
        <v>300</v>
      </c>
      <c r="D79" s="54">
        <f>$I$8*2</f>
        <v>1500</v>
      </c>
      <c r="E79" s="79"/>
      <c r="F79" s="5" t="s">
        <v>9</v>
      </c>
      <c r="G79" s="55">
        <f t="shared" ref="G79" si="34">D79*E79</f>
        <v>0</v>
      </c>
      <c r="H79" s="55">
        <f t="shared" si="32"/>
        <v>0</v>
      </c>
      <c r="I79" s="55">
        <f t="shared" si="33"/>
        <v>0</v>
      </c>
    </row>
    <row r="80" spans="2:9" ht="13.5">
      <c r="B80" s="4" t="s">
        <v>13</v>
      </c>
      <c r="C80" s="4" t="s">
        <v>166</v>
      </c>
      <c r="D80" s="52">
        <f>$I$8*4</f>
        <v>3000</v>
      </c>
      <c r="E80" s="77"/>
      <c r="F80" s="4" t="s">
        <v>9</v>
      </c>
      <c r="G80" s="53">
        <f>D80*E80</f>
        <v>0</v>
      </c>
      <c r="H80" s="53">
        <f t="shared" ref="H80:H81" si="35">G80*0.25</f>
        <v>0</v>
      </c>
      <c r="I80" s="53">
        <f t="shared" si="31"/>
        <v>0</v>
      </c>
    </row>
    <row r="81" spans="2:9" ht="13.5">
      <c r="B81" s="5" t="s">
        <v>23</v>
      </c>
      <c r="C81" s="5" t="s">
        <v>302</v>
      </c>
      <c r="D81" s="54">
        <f>$I$8*10</f>
        <v>7500</v>
      </c>
      <c r="E81" s="79"/>
      <c r="F81" s="5" t="s">
        <v>9</v>
      </c>
      <c r="G81" s="55">
        <f>D81*E81</f>
        <v>0</v>
      </c>
      <c r="H81" s="55">
        <f t="shared" si="35"/>
        <v>0</v>
      </c>
      <c r="I81" s="55">
        <f t="shared" si="31"/>
        <v>0</v>
      </c>
    </row>
    <row r="82" spans="2:9" ht="13.5">
      <c r="B82" s="4" t="s">
        <v>10</v>
      </c>
      <c r="C82" s="4" t="s">
        <v>69</v>
      </c>
      <c r="D82" s="52">
        <f>$I$8*3</f>
        <v>2250</v>
      </c>
      <c r="E82" s="77"/>
      <c r="F82" s="4" t="s">
        <v>11</v>
      </c>
      <c r="G82" s="53">
        <f>D82*E82</f>
        <v>0</v>
      </c>
      <c r="H82" s="53">
        <f>G82*0.25</f>
        <v>0</v>
      </c>
      <c r="I82" s="53">
        <f>SUM(G82:H82)</f>
        <v>0</v>
      </c>
    </row>
    <row r="83" spans="2:9" ht="15.75">
      <c r="B83" s="8" t="s">
        <v>239</v>
      </c>
      <c r="C83" s="8"/>
      <c r="D83" s="56"/>
      <c r="E83" s="57"/>
      <c r="F83" s="8"/>
      <c r="G83" s="58">
        <f>SUM(G77:G82)</f>
        <v>0</v>
      </c>
      <c r="H83" s="58">
        <f>SUM(H77:H82)</f>
        <v>0</v>
      </c>
      <c r="I83" s="58">
        <f>SUM(I77:I82)</f>
        <v>0</v>
      </c>
    </row>
    <row r="84" spans="2:9" ht="18.75">
      <c r="B84" s="26" t="s">
        <v>31</v>
      </c>
      <c r="C84" s="26"/>
      <c r="D84" s="59"/>
      <c r="E84" s="60"/>
      <c r="F84" s="26"/>
      <c r="G84" s="62"/>
      <c r="H84" s="62"/>
      <c r="I84" s="62"/>
    </row>
    <row r="85" spans="2:9" ht="13.5">
      <c r="B85" s="4" t="s">
        <v>12</v>
      </c>
      <c r="C85" s="80" t="s">
        <v>220</v>
      </c>
      <c r="D85" s="52"/>
      <c r="E85" s="63" t="b">
        <v>0</v>
      </c>
      <c r="F85" s="4"/>
      <c r="G85" s="53">
        <f>IF(E85=TRUE(),,IF(OR(E88&gt;0,E89&gt;0,E86&gt;0,E87&gt;0),$I$8*2,))</f>
        <v>0</v>
      </c>
      <c r="H85" s="53">
        <f>G85*0.25</f>
        <v>0</v>
      </c>
      <c r="I85" s="53">
        <f t="shared" ref="I85:I89" si="36">SUM(G85:H85)</f>
        <v>0</v>
      </c>
    </row>
    <row r="86" spans="2:9" ht="13.5">
      <c r="B86" s="5" t="s">
        <v>83</v>
      </c>
      <c r="C86" s="5" t="s">
        <v>299</v>
      </c>
      <c r="D86" s="54">
        <f>$I$8*3</f>
        <v>2250</v>
      </c>
      <c r="E86" s="79"/>
      <c r="F86" s="5" t="s">
        <v>11</v>
      </c>
      <c r="G86" s="55">
        <f>D86*E86</f>
        <v>0</v>
      </c>
      <c r="H86" s="55">
        <f t="shared" ref="H86:H87" si="37">G86*0.25</f>
        <v>0</v>
      </c>
      <c r="I86" s="55">
        <f t="shared" si="36"/>
        <v>0</v>
      </c>
    </row>
    <row r="87" spans="2:9" ht="13.5">
      <c r="B87" s="5"/>
      <c r="C87" s="5" t="s">
        <v>300</v>
      </c>
      <c r="D87" s="54">
        <f>$I$8*2</f>
        <v>1500</v>
      </c>
      <c r="E87" s="79"/>
      <c r="F87" s="5" t="s">
        <v>9</v>
      </c>
      <c r="G87" s="55">
        <f t="shared" ref="G87" si="38">D87*E87</f>
        <v>0</v>
      </c>
      <c r="H87" s="55">
        <f t="shared" si="37"/>
        <v>0</v>
      </c>
      <c r="I87" s="55">
        <f t="shared" si="36"/>
        <v>0</v>
      </c>
    </row>
    <row r="88" spans="2:9" ht="13.5">
      <c r="B88" s="4" t="s">
        <v>13</v>
      </c>
      <c r="C88" s="4" t="s">
        <v>166</v>
      </c>
      <c r="D88" s="52">
        <f>$I$8*8</f>
        <v>6000</v>
      </c>
      <c r="E88" s="77"/>
      <c r="F88" s="4" t="s">
        <v>9</v>
      </c>
      <c r="G88" s="53">
        <f>D88*E88</f>
        <v>0</v>
      </c>
      <c r="H88" s="53">
        <f t="shared" ref="H88:H89" si="39">G88*0.25</f>
        <v>0</v>
      </c>
      <c r="I88" s="53">
        <f>SUM(G88:H88)</f>
        <v>0</v>
      </c>
    </row>
    <row r="89" spans="2:9" ht="13.5">
      <c r="B89" s="5" t="s">
        <v>23</v>
      </c>
      <c r="C89" s="5" t="s">
        <v>183</v>
      </c>
      <c r="D89" s="54">
        <f>$I$8</f>
        <v>750</v>
      </c>
      <c r="E89" s="79"/>
      <c r="F89" s="5" t="s">
        <v>1</v>
      </c>
      <c r="G89" s="55">
        <f>D89*E89</f>
        <v>0</v>
      </c>
      <c r="H89" s="55">
        <f t="shared" si="39"/>
        <v>0</v>
      </c>
      <c r="I89" s="55">
        <f t="shared" si="36"/>
        <v>0</v>
      </c>
    </row>
    <row r="90" spans="2:9" ht="15.75">
      <c r="B90" s="8" t="s">
        <v>239</v>
      </c>
      <c r="C90" s="8"/>
      <c r="D90" s="56"/>
      <c r="E90" s="57"/>
      <c r="F90" s="8"/>
      <c r="G90" s="58">
        <f>SUM(G85:G89)</f>
        <v>0</v>
      </c>
      <c r="H90" s="58">
        <f>SUM(H85:H89)</f>
        <v>0</v>
      </c>
      <c r="I90" s="58">
        <f>SUM(I85:I89)</f>
        <v>0</v>
      </c>
    </row>
    <row r="91" spans="2:9" ht="18.75">
      <c r="B91" s="26" t="s">
        <v>30</v>
      </c>
      <c r="C91" s="26"/>
      <c r="D91" s="59"/>
      <c r="E91" s="60"/>
      <c r="F91" s="26"/>
      <c r="G91" s="62"/>
      <c r="H91" s="62"/>
      <c r="I91" s="62"/>
    </row>
    <row r="92" spans="2:9" ht="13.5">
      <c r="B92" s="4" t="s">
        <v>28</v>
      </c>
      <c r="C92" s="4" t="s">
        <v>182</v>
      </c>
      <c r="D92" s="52">
        <f>$I$8</f>
        <v>750</v>
      </c>
      <c r="E92" s="77"/>
      <c r="F92" s="4" t="s">
        <v>1</v>
      </c>
      <c r="G92" s="53">
        <f>D92*E92</f>
        <v>0</v>
      </c>
      <c r="H92" s="53">
        <f t="shared" ref="H92" si="40">G92*0.25</f>
        <v>0</v>
      </c>
      <c r="I92" s="53">
        <f t="shared" ref="I92" si="41">SUM(G92:H92)</f>
        <v>0</v>
      </c>
    </row>
    <row r="93" spans="2:9" ht="15.75">
      <c r="B93" s="8" t="s">
        <v>239</v>
      </c>
      <c r="C93" s="8"/>
      <c r="D93" s="56"/>
      <c r="E93" s="57"/>
      <c r="F93" s="8"/>
      <c r="G93" s="58">
        <f>SUM(G92:G92)</f>
        <v>0</v>
      </c>
      <c r="H93" s="58">
        <f>SUM(H92:H92)</f>
        <v>0</v>
      </c>
      <c r="I93" s="58">
        <f>SUM(I92:I92)</f>
        <v>0</v>
      </c>
    </row>
    <row r="94" spans="2:9" ht="18.75">
      <c r="B94" s="26" t="s">
        <v>156</v>
      </c>
      <c r="C94" s="26"/>
      <c r="D94" s="59"/>
      <c r="E94" s="60"/>
      <c r="F94" s="26"/>
      <c r="G94" s="62"/>
      <c r="H94" s="62"/>
      <c r="I94" s="62"/>
    </row>
    <row r="95" spans="2:9" ht="13.5">
      <c r="B95" s="4" t="s">
        <v>60</v>
      </c>
      <c r="C95" s="80" t="s">
        <v>220</v>
      </c>
      <c r="D95" s="52"/>
      <c r="E95" s="63" t="b">
        <v>0</v>
      </c>
      <c r="F95" s="4"/>
      <c r="G95" s="53">
        <f>IF(E95=TRUE(),,IF(OR(E96&gt;0,E96&gt;0),$I$8*2,))</f>
        <v>0</v>
      </c>
      <c r="H95" s="53">
        <f>G95*0.25</f>
        <v>0</v>
      </c>
      <c r="I95" s="53">
        <f>SUM(G95:H95)</f>
        <v>0</v>
      </c>
    </row>
    <row r="96" spans="2:9" ht="13.5">
      <c r="B96" s="5" t="s">
        <v>163</v>
      </c>
      <c r="C96" s="5" t="s">
        <v>181</v>
      </c>
      <c r="D96" s="54">
        <f>$I$8*3.5</f>
        <v>2625</v>
      </c>
      <c r="E96" s="79"/>
      <c r="F96" s="5" t="s">
        <v>9</v>
      </c>
      <c r="G96" s="55">
        <f>D96*E96</f>
        <v>0</v>
      </c>
      <c r="H96" s="55">
        <f t="shared" ref="H96:H97" si="42">G96*0.25</f>
        <v>0</v>
      </c>
      <c r="I96" s="55">
        <f t="shared" ref="I96:I97" si="43">SUM(G96:H96)</f>
        <v>0</v>
      </c>
    </row>
    <row r="97" spans="2:9" ht="13.5">
      <c r="B97" s="4" t="s">
        <v>23</v>
      </c>
      <c r="C97" s="4" t="s">
        <v>179</v>
      </c>
      <c r="D97" s="52">
        <f>'PRISLISTE NAT.'!$E$93</f>
        <v>7500</v>
      </c>
      <c r="E97" s="77"/>
      <c r="F97" s="4" t="s">
        <v>9</v>
      </c>
      <c r="G97" s="53">
        <f>D97*E97</f>
        <v>0</v>
      </c>
      <c r="H97" s="53">
        <f t="shared" si="42"/>
        <v>0</v>
      </c>
      <c r="I97" s="53">
        <f t="shared" si="43"/>
        <v>0</v>
      </c>
    </row>
    <row r="98" spans="2:9" ht="15.75">
      <c r="B98" s="8" t="s">
        <v>239</v>
      </c>
      <c r="C98" s="8"/>
      <c r="D98" s="56"/>
      <c r="E98" s="57"/>
      <c r="F98" s="8"/>
      <c r="G98" s="58">
        <f>SUM(G95:G97)</f>
        <v>0</v>
      </c>
      <c r="H98" s="58">
        <f>SUM(H95:H97)</f>
        <v>0</v>
      </c>
      <c r="I98" s="58">
        <f>SUM(I95:I97)</f>
        <v>0</v>
      </c>
    </row>
    <row r="99" spans="2:9" ht="18.75">
      <c r="B99" s="26" t="s">
        <v>41</v>
      </c>
      <c r="C99" s="26"/>
      <c r="D99" s="59"/>
      <c r="E99" s="60"/>
      <c r="F99" s="26"/>
      <c r="G99" s="62"/>
      <c r="H99" s="62"/>
      <c r="I99" s="62"/>
    </row>
    <row r="100" spans="2:9" ht="13.5">
      <c r="B100" s="4" t="s">
        <v>12</v>
      </c>
      <c r="C100" s="80" t="s">
        <v>220</v>
      </c>
      <c r="D100" s="52"/>
      <c r="E100" s="63" t="b">
        <v>0</v>
      </c>
      <c r="F100" s="4"/>
      <c r="G100" s="53">
        <f>IF(E100=TRUE(),,IF(E101&gt;0,$I$8*2,))</f>
        <v>0</v>
      </c>
      <c r="H100" s="53">
        <f t="shared" ref="H100:H102" si="44">G100*0.25</f>
        <v>0</v>
      </c>
      <c r="I100" s="53">
        <f t="shared" ref="I100:I102" si="45">SUM(G100:H100)</f>
        <v>0</v>
      </c>
    </row>
    <row r="101" spans="2:9" ht="13.5">
      <c r="B101" s="5" t="s">
        <v>42</v>
      </c>
      <c r="C101" s="5" t="s">
        <v>282</v>
      </c>
      <c r="D101" s="54">
        <f>$I$8</f>
        <v>750</v>
      </c>
      <c r="E101" s="79"/>
      <c r="F101" s="5" t="s">
        <v>1</v>
      </c>
      <c r="G101" s="55">
        <f>D101*E101</f>
        <v>0</v>
      </c>
      <c r="H101" s="55">
        <f t="shared" si="44"/>
        <v>0</v>
      </c>
      <c r="I101" s="55">
        <f t="shared" si="45"/>
        <v>0</v>
      </c>
    </row>
    <row r="102" spans="2:9" ht="13.5">
      <c r="B102" s="4" t="s">
        <v>21</v>
      </c>
      <c r="C102" s="4"/>
      <c r="D102" s="52"/>
      <c r="E102" s="12"/>
      <c r="F102" s="4"/>
      <c r="G102" s="53">
        <f>IF(E101&gt;0,4*$I$8,)</f>
        <v>0</v>
      </c>
      <c r="H102" s="53">
        <f t="shared" si="44"/>
        <v>0</v>
      </c>
      <c r="I102" s="53">
        <f t="shared" si="45"/>
        <v>0</v>
      </c>
    </row>
    <row r="103" spans="2:9" ht="15.75">
      <c r="B103" s="8" t="s">
        <v>239</v>
      </c>
      <c r="C103" s="8"/>
      <c r="D103" s="56"/>
      <c r="E103" s="57"/>
      <c r="F103" s="8"/>
      <c r="G103" s="58">
        <f>SUM(G100:G102)</f>
        <v>0</v>
      </c>
      <c r="H103" s="58">
        <f>SUM(H100:H102)</f>
        <v>0</v>
      </c>
      <c r="I103" s="58">
        <f>SUM(I100:I102)</f>
        <v>0</v>
      </c>
    </row>
    <row r="104" spans="2:9" ht="18.75">
      <c r="B104" s="26" t="s">
        <v>160</v>
      </c>
      <c r="C104" s="26"/>
      <c r="D104" s="59"/>
      <c r="E104" s="60"/>
      <c r="F104" s="26"/>
      <c r="G104" s="62"/>
      <c r="H104" s="62"/>
      <c r="I104" s="62"/>
    </row>
    <row r="105" spans="2:9" ht="13.5">
      <c r="B105" s="4" t="s">
        <v>28</v>
      </c>
      <c r="C105" s="4" t="s">
        <v>182</v>
      </c>
      <c r="D105" s="52">
        <f>$I$8</f>
        <v>750</v>
      </c>
      <c r="E105" s="77"/>
      <c r="F105" s="4" t="s">
        <v>1</v>
      </c>
      <c r="G105" s="53">
        <f>D105*E105</f>
        <v>0</v>
      </c>
      <c r="H105" s="53">
        <f t="shared" ref="H105" si="46">G105*0.25</f>
        <v>0</v>
      </c>
      <c r="I105" s="53">
        <f t="shared" ref="I105" si="47">SUM(G105:H105)</f>
        <v>0</v>
      </c>
    </row>
    <row r="106" spans="2:9" ht="15.75">
      <c r="B106" s="8" t="s">
        <v>239</v>
      </c>
      <c r="C106" s="8"/>
      <c r="D106" s="56"/>
      <c r="E106" s="57"/>
      <c r="F106" s="8"/>
      <c r="G106" s="58">
        <f>SUM(G105:G105)</f>
        <v>0</v>
      </c>
      <c r="H106" s="58">
        <f>SUM(H105:H105)</f>
        <v>0</v>
      </c>
      <c r="I106" s="58">
        <f>SUM(I105:I105)</f>
        <v>0</v>
      </c>
    </row>
    <row r="107" spans="2:9" ht="18.75">
      <c r="B107" s="26" t="s">
        <v>158</v>
      </c>
      <c r="C107" s="26"/>
      <c r="D107" s="59"/>
      <c r="E107" s="60"/>
      <c r="F107" s="26"/>
      <c r="G107" s="62"/>
      <c r="H107" s="62"/>
      <c r="I107" s="62"/>
    </row>
    <row r="108" spans="2:9" ht="13.5">
      <c r="B108" s="4" t="s">
        <v>60</v>
      </c>
      <c r="C108" s="80" t="s">
        <v>220</v>
      </c>
      <c r="D108" s="52"/>
      <c r="E108" s="63" t="b">
        <v>0</v>
      </c>
      <c r="F108" s="4"/>
      <c r="G108" s="53">
        <f>IF(E108=TRUE(),,IF(OR(D109&gt;0,D110&gt;0),$I$8*2.5,))</f>
        <v>0</v>
      </c>
      <c r="H108" s="53">
        <f>G108*0.25</f>
        <v>0</v>
      </c>
      <c r="I108" s="53">
        <f>SUM(G108:H108)</f>
        <v>0</v>
      </c>
    </row>
    <row r="109" spans="2:9" ht="13.5">
      <c r="B109" s="5" t="s">
        <v>24</v>
      </c>
      <c r="C109" s="5" t="s">
        <v>182</v>
      </c>
      <c r="D109" s="78"/>
      <c r="E109" s="11" t="s">
        <v>271</v>
      </c>
      <c r="F109" s="5"/>
      <c r="G109" s="55">
        <f>D109*1</f>
        <v>0</v>
      </c>
      <c r="H109" s="55">
        <f>G109*0.25</f>
        <v>0</v>
      </c>
      <c r="I109" s="55">
        <f>SUM(G109:H109)</f>
        <v>0</v>
      </c>
    </row>
    <row r="110" spans="2:9" ht="13.5">
      <c r="B110" s="4" t="s">
        <v>168</v>
      </c>
      <c r="C110" s="4" t="s">
        <v>182</v>
      </c>
      <c r="D110" s="78"/>
      <c r="E110" s="12" t="s">
        <v>271</v>
      </c>
      <c r="F110" s="4"/>
      <c r="G110" s="53">
        <f>D110*1</f>
        <v>0</v>
      </c>
      <c r="H110" s="53">
        <f>G110*0.25</f>
        <v>0</v>
      </c>
      <c r="I110" s="53">
        <f>SUM(G110:H110)</f>
        <v>0</v>
      </c>
    </row>
    <row r="111" spans="2:9" ht="15.75">
      <c r="B111" s="8" t="s">
        <v>239</v>
      </c>
      <c r="C111" s="8"/>
      <c r="D111" s="56"/>
      <c r="E111" s="57"/>
      <c r="F111" s="8"/>
      <c r="G111" s="58">
        <f>SUM(G108:G110)</f>
        <v>0</v>
      </c>
      <c r="H111" s="58">
        <f>SUM(H108:H110)</f>
        <v>0</v>
      </c>
      <c r="I111" s="58">
        <f>SUM(I108:I110)</f>
        <v>0</v>
      </c>
    </row>
    <row r="112" spans="2:9" ht="18.75">
      <c r="B112" s="26" t="s">
        <v>293</v>
      </c>
      <c r="C112" s="26"/>
      <c r="D112" s="59"/>
      <c r="E112" s="60"/>
      <c r="F112" s="26"/>
      <c r="G112" s="62"/>
      <c r="H112" s="62"/>
      <c r="I112" s="62"/>
    </row>
    <row r="113" spans="2:9" ht="13.5">
      <c r="B113" s="4" t="s">
        <v>141</v>
      </c>
      <c r="C113" s="4" t="s">
        <v>87</v>
      </c>
      <c r="D113" s="52">
        <f>'PRISLISTE NAT.'!E110</f>
        <v>335</v>
      </c>
      <c r="E113" s="77"/>
      <c r="F113" s="4" t="s">
        <v>88</v>
      </c>
      <c r="G113" s="53">
        <f>D113*(E113+E44)</f>
        <v>0</v>
      </c>
      <c r="H113" s="53">
        <f t="shared" ref="H113:H114" si="48">G113*0.25</f>
        <v>0</v>
      </c>
      <c r="I113" s="53">
        <f t="shared" ref="I113:I114" si="49">SUM(G113:H113)</f>
        <v>0</v>
      </c>
    </row>
    <row r="114" spans="2:9" ht="13.5">
      <c r="B114" s="4"/>
      <c r="C114" s="4" t="s">
        <v>184</v>
      </c>
      <c r="D114" s="52">
        <f>$I$8</f>
        <v>750</v>
      </c>
      <c r="E114" s="77"/>
      <c r="F114" s="4" t="s">
        <v>1</v>
      </c>
      <c r="G114" s="53">
        <f>D114*E114</f>
        <v>0</v>
      </c>
      <c r="H114" s="53">
        <f t="shared" si="48"/>
        <v>0</v>
      </c>
      <c r="I114" s="53">
        <f t="shared" si="49"/>
        <v>0</v>
      </c>
    </row>
    <row r="115" spans="2:9" ht="13.5">
      <c r="B115" s="5" t="s">
        <v>143</v>
      </c>
      <c r="C115" s="5" t="s">
        <v>182</v>
      </c>
      <c r="D115" s="39">
        <f>$I$8</f>
        <v>750</v>
      </c>
      <c r="E115" s="77"/>
      <c r="F115" s="64" t="s">
        <v>1</v>
      </c>
      <c r="G115" s="55">
        <f>D115*E115</f>
        <v>0</v>
      </c>
      <c r="H115" s="55">
        <f>G115*0.25</f>
        <v>0</v>
      </c>
      <c r="I115" s="55">
        <f>SUM(G115:H115)</f>
        <v>0</v>
      </c>
    </row>
    <row r="116" spans="2:9" ht="15.75">
      <c r="B116" s="8" t="s">
        <v>239</v>
      </c>
      <c r="C116" s="8"/>
      <c r="D116" s="8"/>
      <c r="E116" s="8"/>
      <c r="F116" s="8"/>
      <c r="G116" s="58">
        <f>SUM(G113:G115)</f>
        <v>0</v>
      </c>
      <c r="H116" s="58">
        <f>SUM(H113:H115)</f>
        <v>0</v>
      </c>
      <c r="I116" s="58">
        <f>SUM(I113:I115)</f>
        <v>0</v>
      </c>
    </row>
    <row r="117" spans="2:9" ht="24">
      <c r="B117" s="65" t="s">
        <v>238</v>
      </c>
      <c r="C117" s="65"/>
      <c r="D117" s="65"/>
      <c r="E117" s="65"/>
      <c r="F117" s="65"/>
      <c r="G117" s="65"/>
      <c r="H117" s="65"/>
      <c r="I117" s="65"/>
    </row>
    <row r="118" spans="2:9" ht="31.5">
      <c r="B118" s="3" t="s">
        <v>240</v>
      </c>
      <c r="C118" s="3"/>
      <c r="D118" s="3"/>
      <c r="E118" s="3"/>
      <c r="F118" s="3"/>
      <c r="G118" s="3" t="s">
        <v>244</v>
      </c>
      <c r="H118" s="3" t="s">
        <v>134</v>
      </c>
      <c r="I118" s="3" t="s">
        <v>245</v>
      </c>
    </row>
    <row r="119" spans="2:9" ht="13.5">
      <c r="B119" s="66" t="str">
        <f>B$10</f>
        <v>KONSULENTSERVICE</v>
      </c>
      <c r="C119" s="67" t="s">
        <v>135</v>
      </c>
      <c r="D119" s="66"/>
      <c r="E119" s="66"/>
      <c r="F119" s="66"/>
      <c r="G119" s="68">
        <f>G$17</f>
        <v>0</v>
      </c>
      <c r="H119" s="68">
        <f t="shared" ref="H119:I119" si="50">H$17</f>
        <v>0</v>
      </c>
      <c r="I119" s="68">
        <f t="shared" si="50"/>
        <v>0</v>
      </c>
    </row>
    <row r="120" spans="2:9" ht="13.5">
      <c r="B120" s="66" t="str">
        <f>B$18</f>
        <v>PRØVEFORARBEJDNING</v>
      </c>
      <c r="C120" s="67" t="s">
        <v>135</v>
      </c>
      <c r="D120" s="66"/>
      <c r="E120" s="66"/>
      <c r="F120" s="66"/>
      <c r="G120" s="68">
        <f>G$22</f>
        <v>0</v>
      </c>
      <c r="H120" s="68">
        <f t="shared" ref="H120:I120" si="51">H$22</f>
        <v>0</v>
      </c>
      <c r="I120" s="68">
        <f t="shared" si="51"/>
        <v>0</v>
      </c>
    </row>
    <row r="121" spans="2:9" ht="13.5">
      <c r="B121" s="66" t="s">
        <v>265</v>
      </c>
      <c r="C121" s="67" t="s">
        <v>135</v>
      </c>
      <c r="D121" s="66"/>
      <c r="E121" s="66"/>
      <c r="F121" s="66"/>
      <c r="G121" s="68">
        <f>G$27</f>
        <v>0</v>
      </c>
      <c r="H121" s="68">
        <f>H$27</f>
        <v>0</v>
      </c>
      <c r="I121" s="68">
        <f>I$27</f>
        <v>0</v>
      </c>
    </row>
    <row r="122" spans="2:9" ht="13.5">
      <c r="B122" s="66" t="str">
        <f>B$28</f>
        <v>MAKROFOSSILER</v>
      </c>
      <c r="C122" s="67" t="s">
        <v>135</v>
      </c>
      <c r="D122" s="66"/>
      <c r="E122" s="66"/>
      <c r="F122" s="66"/>
      <c r="G122" s="68">
        <f>G$37</f>
        <v>0</v>
      </c>
      <c r="H122" s="68">
        <f>H$37</f>
        <v>0</v>
      </c>
      <c r="I122" s="68">
        <f>I$37</f>
        <v>0</v>
      </c>
    </row>
    <row r="123" spans="2:9" ht="13.5">
      <c r="B123" s="69" t="str">
        <f>"          KURSORISK"</f>
        <v xml:space="preserve">          KURSORISK</v>
      </c>
      <c r="C123" s="69"/>
      <c r="D123" s="69"/>
      <c r="E123" s="69"/>
      <c r="F123" s="69"/>
      <c r="G123" s="70">
        <f>SUM(G$29:G$34)</f>
        <v>0</v>
      </c>
      <c r="H123" s="70">
        <f>SUM(H$29:H$34)</f>
        <v>0</v>
      </c>
      <c r="I123" s="70">
        <f>SUM(I$29:I$34)</f>
        <v>0</v>
      </c>
    </row>
    <row r="124" spans="2:9" ht="13.5">
      <c r="B124" s="69" t="str">
        <f>"          ANALYSE"</f>
        <v xml:space="preserve">          ANALYSE</v>
      </c>
      <c r="C124" s="69"/>
      <c r="D124" s="69"/>
      <c r="E124" s="69"/>
      <c r="F124" s="69"/>
      <c r="G124" s="70">
        <f>SUM(G$35:G$36)</f>
        <v>0</v>
      </c>
      <c r="H124" s="70">
        <f t="shared" ref="H124:I124" si="52">SUM(H$35:H$36)</f>
        <v>0</v>
      </c>
      <c r="I124" s="70">
        <f t="shared" si="52"/>
        <v>0</v>
      </c>
    </row>
    <row r="125" spans="2:9" ht="13.5">
      <c r="B125" s="66" t="str">
        <f>B$38</f>
        <v>UDTAGNING TIL 14C-DATERING</v>
      </c>
      <c r="C125" s="67" t="s">
        <v>135</v>
      </c>
      <c r="D125" s="66"/>
      <c r="E125" s="66"/>
      <c r="F125" s="66"/>
      <c r="G125" s="68">
        <f>G$45</f>
        <v>0</v>
      </c>
      <c r="H125" s="68">
        <f t="shared" ref="H125:I125" si="53">H$45</f>
        <v>0</v>
      </c>
      <c r="I125" s="68">
        <f t="shared" si="53"/>
        <v>0</v>
      </c>
    </row>
    <row r="126" spans="2:9" ht="13.5">
      <c r="B126" s="66" t="str">
        <f>B$46</f>
        <v>TRÆKUL</v>
      </c>
      <c r="C126" s="67" t="s">
        <v>135</v>
      </c>
      <c r="D126" s="66"/>
      <c r="E126" s="66"/>
      <c r="F126" s="66"/>
      <c r="G126" s="68">
        <f>G$51</f>
        <v>0</v>
      </c>
      <c r="H126" s="68">
        <f t="shared" ref="H126:I126" si="54">H$51</f>
        <v>0</v>
      </c>
      <c r="I126" s="68">
        <f t="shared" si="54"/>
        <v>0</v>
      </c>
    </row>
    <row r="127" spans="2:9" ht="13.5">
      <c r="B127" s="69" t="str">
        <f>"          KURSORISK"</f>
        <v xml:space="preserve">          KURSORISK</v>
      </c>
      <c r="C127" s="69"/>
      <c r="D127" s="69"/>
      <c r="E127" s="69"/>
      <c r="F127" s="69"/>
      <c r="G127" s="70">
        <f>SUM(G$47:G$48)</f>
        <v>0</v>
      </c>
      <c r="H127" s="70">
        <f t="shared" ref="H127:I127" si="55">SUM(H$47:H$48)</f>
        <v>0</v>
      </c>
      <c r="I127" s="70">
        <f t="shared" si="55"/>
        <v>0</v>
      </c>
    </row>
    <row r="128" spans="2:9" ht="13.5">
      <c r="B128" s="69" t="str">
        <f>"          ANALYSE"</f>
        <v xml:space="preserve">          ANALYSE</v>
      </c>
      <c r="C128" s="69"/>
      <c r="D128" s="69"/>
      <c r="E128" s="69"/>
      <c r="F128" s="69"/>
      <c r="G128" s="70">
        <f>SUM(G$49:G$50)</f>
        <v>0</v>
      </c>
      <c r="H128" s="70">
        <f t="shared" ref="H128:I128" si="56">SUM(H$49:H$50)</f>
        <v>0</v>
      </c>
      <c r="I128" s="70">
        <f t="shared" si="56"/>
        <v>0</v>
      </c>
    </row>
    <row r="129" spans="2:9" ht="13.5">
      <c r="B129" s="66" t="str">
        <f>B$52</f>
        <v>VANDDRUKKENT TRÆ</v>
      </c>
      <c r="C129" s="67" t="s">
        <v>135</v>
      </c>
      <c r="D129" s="66"/>
      <c r="E129" s="66"/>
      <c r="F129" s="66"/>
      <c r="G129" s="68">
        <f>G$54</f>
        <v>0</v>
      </c>
      <c r="H129" s="68">
        <f t="shared" ref="H129:I129" si="57">H$54</f>
        <v>0</v>
      </c>
      <c r="I129" s="68">
        <f t="shared" si="57"/>
        <v>0</v>
      </c>
    </row>
    <row r="130" spans="2:9" ht="13.5">
      <c r="B130" s="66" t="str">
        <f>B$55</f>
        <v>DENDROKRONOLOGI</v>
      </c>
      <c r="C130" s="67" t="s">
        <v>135</v>
      </c>
      <c r="D130" s="66"/>
      <c r="E130" s="66"/>
      <c r="F130" s="66"/>
      <c r="G130" s="68">
        <f>G61</f>
        <v>0</v>
      </c>
      <c r="H130" s="68">
        <f>H61</f>
        <v>0</v>
      </c>
      <c r="I130" s="68">
        <f>I61</f>
        <v>0</v>
      </c>
    </row>
    <row r="131" spans="2:9" ht="13.5">
      <c r="B131" s="69" t="str">
        <f>"          KURSORISK"</f>
        <v xml:space="preserve">          KURSORISK</v>
      </c>
      <c r="C131" s="67"/>
      <c r="D131" s="66"/>
      <c r="E131" s="66"/>
      <c r="F131" s="66"/>
      <c r="G131" s="70">
        <f>SUM(G$56:G$57)</f>
        <v>0</v>
      </c>
      <c r="H131" s="70">
        <f t="shared" ref="H131:I131" si="58">SUM(H$56:H$57)</f>
        <v>0</v>
      </c>
      <c r="I131" s="70">
        <f t="shared" si="58"/>
        <v>0</v>
      </c>
    </row>
    <row r="132" spans="2:9" ht="13.5">
      <c r="B132" s="69" t="str">
        <f>"          DATERING"</f>
        <v xml:space="preserve">          DATERING</v>
      </c>
      <c r="C132" s="67"/>
      <c r="D132" s="66"/>
      <c r="E132" s="66"/>
      <c r="F132" s="66"/>
      <c r="G132" s="70">
        <f>SUM(G$58:G$60)</f>
        <v>0</v>
      </c>
      <c r="H132" s="70">
        <f t="shared" ref="H132:I132" si="59">SUM(H$58:H$60)</f>
        <v>0</v>
      </c>
      <c r="I132" s="70">
        <f t="shared" si="59"/>
        <v>0</v>
      </c>
    </row>
    <row r="133" spans="2:9" ht="13.5">
      <c r="B133" s="66" t="str">
        <f>B$62</f>
        <v>KNOGLER</v>
      </c>
      <c r="C133" s="67" t="s">
        <v>135</v>
      </c>
      <c r="D133" s="66"/>
      <c r="E133" s="66"/>
      <c r="F133" s="66"/>
      <c r="G133" s="68">
        <f>G$75</f>
        <v>0</v>
      </c>
      <c r="H133" s="68">
        <f t="shared" ref="H133:I133" si="60">H$75</f>
        <v>0</v>
      </c>
      <c r="I133" s="68">
        <f t="shared" si="60"/>
        <v>0</v>
      </c>
    </row>
    <row r="134" spans="2:9" ht="13.5">
      <c r="B134" s="69" t="str">
        <f>"          KURSORISK"</f>
        <v xml:space="preserve">          KURSORISK</v>
      </c>
      <c r="C134" s="69"/>
      <c r="D134" s="69"/>
      <c r="E134" s="69"/>
      <c r="F134" s="69"/>
      <c r="G134" s="70">
        <f>SUM(G$63:G$67)</f>
        <v>0</v>
      </c>
      <c r="H134" s="70">
        <f>SUM(H$63:H$67)</f>
        <v>0</v>
      </c>
      <c r="I134" s="70">
        <f>SUM(I$63:I$67)</f>
        <v>0</v>
      </c>
    </row>
    <row r="135" spans="2:9" ht="13.5">
      <c r="B135" s="69" t="str">
        <f>"          ANALYSE"</f>
        <v xml:space="preserve">          ANALYSE</v>
      </c>
      <c r="C135" s="69"/>
      <c r="D135" s="69"/>
      <c r="E135" s="69"/>
      <c r="F135" s="69"/>
      <c r="G135" s="70">
        <f>SUM(G$68:G$74)</f>
        <v>0</v>
      </c>
      <c r="H135" s="70">
        <f>SUM(H$68:H$74)</f>
        <v>0</v>
      </c>
      <c r="I135" s="70">
        <f>SUM(I$68:I$74)</f>
        <v>0</v>
      </c>
    </row>
    <row r="136" spans="2:9" ht="13.5">
      <c r="B136" s="66" t="str">
        <f>B$76</f>
        <v>POLLEN</v>
      </c>
      <c r="C136" s="67" t="s">
        <v>135</v>
      </c>
      <c r="D136" s="66"/>
      <c r="E136" s="66"/>
      <c r="F136" s="66"/>
      <c r="G136" s="68">
        <f>G$83</f>
        <v>0</v>
      </c>
      <c r="H136" s="68">
        <f t="shared" ref="H136:I136" si="61">H$83</f>
        <v>0</v>
      </c>
      <c r="I136" s="68">
        <f t="shared" si="61"/>
        <v>0</v>
      </c>
    </row>
    <row r="137" spans="2:9" ht="13.5">
      <c r="B137" s="69" t="str">
        <f>"          KURSORISK"</f>
        <v xml:space="preserve">          KURSORISK</v>
      </c>
      <c r="C137" s="69"/>
      <c r="D137" s="69"/>
      <c r="E137" s="69"/>
      <c r="F137" s="69"/>
      <c r="G137" s="70">
        <f>SUM(G$77:G$80)</f>
        <v>0</v>
      </c>
      <c r="H137" s="70">
        <f>SUM(H$77:H$80)</f>
        <v>0</v>
      </c>
      <c r="I137" s="70">
        <f>SUM(I$77:I$80)</f>
        <v>0</v>
      </c>
    </row>
    <row r="138" spans="2:9" ht="13.5">
      <c r="B138" s="69" t="str">
        <f>"          ANALYSE"</f>
        <v xml:space="preserve">          ANALYSE</v>
      </c>
      <c r="C138" s="69"/>
      <c r="D138" s="69"/>
      <c r="E138" s="69"/>
      <c r="F138" s="69"/>
      <c r="G138" s="70">
        <f>SUM(G$81)</f>
        <v>0</v>
      </c>
      <c r="H138" s="70">
        <f t="shared" ref="H138:I138" si="62">SUM(H$81)</f>
        <v>0</v>
      </c>
      <c r="I138" s="70">
        <f t="shared" si="62"/>
        <v>0</v>
      </c>
    </row>
    <row r="139" spans="2:9" ht="13.5">
      <c r="B139" s="69" t="str">
        <f>"          FRYSETØRRING"</f>
        <v xml:space="preserve">          FRYSETØRRING</v>
      </c>
      <c r="C139" s="69"/>
      <c r="D139" s="69"/>
      <c r="E139" s="69"/>
      <c r="F139" s="69"/>
      <c r="G139" s="70">
        <f>SUM(G$82)</f>
        <v>0</v>
      </c>
      <c r="H139" s="70">
        <f t="shared" ref="H139:I139" si="63">SUM(H$82)</f>
        <v>0</v>
      </c>
      <c r="I139" s="70">
        <f t="shared" si="63"/>
        <v>0</v>
      </c>
    </row>
    <row r="140" spans="2:9" ht="13.5">
      <c r="B140" s="66" t="str">
        <f>B$84</f>
        <v>NON-POLLEN PALYNOMORPHS (NPP)</v>
      </c>
      <c r="C140" s="67" t="s">
        <v>135</v>
      </c>
      <c r="D140" s="66"/>
      <c r="E140" s="66"/>
      <c r="F140" s="66"/>
      <c r="G140" s="68">
        <f>G$90</f>
        <v>0</v>
      </c>
      <c r="H140" s="68">
        <f t="shared" ref="H140:I140" si="64">H$90</f>
        <v>0</v>
      </c>
      <c r="I140" s="68">
        <f t="shared" si="64"/>
        <v>0</v>
      </c>
    </row>
    <row r="141" spans="2:9" ht="13.5">
      <c r="B141" s="69" t="str">
        <f>"          KURSORISK"</f>
        <v xml:space="preserve">          KURSORISK</v>
      </c>
      <c r="C141" s="69"/>
      <c r="D141" s="69"/>
      <c r="E141" s="69"/>
      <c r="F141" s="69"/>
      <c r="G141" s="70">
        <f>SUM(G$85:G$88)</f>
        <v>0</v>
      </c>
      <c r="H141" s="70">
        <f>SUM(H$85:H$88)</f>
        <v>0</v>
      </c>
      <c r="I141" s="70">
        <f>SUM(I$85:I$88)</f>
        <v>0</v>
      </c>
    </row>
    <row r="142" spans="2:9" ht="13.5">
      <c r="B142" s="69" t="str">
        <f>"          ANALYSE"</f>
        <v xml:space="preserve">          ANALYSE</v>
      </c>
      <c r="C142" s="69"/>
      <c r="D142" s="69"/>
      <c r="E142" s="69"/>
      <c r="F142" s="69"/>
      <c r="G142" s="70">
        <f>SUM(G$89)</f>
        <v>0</v>
      </c>
      <c r="H142" s="70">
        <f>SUM(H$89)</f>
        <v>0</v>
      </c>
      <c r="I142" s="70">
        <f>SUM(I$89)</f>
        <v>0</v>
      </c>
    </row>
    <row r="143" spans="2:9" ht="13.5">
      <c r="B143" s="66" t="str">
        <f>B$91</f>
        <v>TEFRA</v>
      </c>
      <c r="C143" s="67" t="s">
        <v>135</v>
      </c>
      <c r="D143" s="66"/>
      <c r="E143" s="66"/>
      <c r="F143" s="66"/>
      <c r="G143" s="68">
        <f>G$93</f>
        <v>0</v>
      </c>
      <c r="H143" s="68">
        <f t="shared" ref="H143:I143" si="65">H$93</f>
        <v>0</v>
      </c>
      <c r="I143" s="68">
        <f t="shared" si="65"/>
        <v>0</v>
      </c>
    </row>
    <row r="144" spans="2:9" ht="13.5">
      <c r="B144" s="66" t="s">
        <v>156</v>
      </c>
      <c r="C144" s="67" t="s">
        <v>135</v>
      </c>
      <c r="D144" s="66"/>
      <c r="E144" s="66"/>
      <c r="F144" s="66"/>
      <c r="G144" s="68">
        <f>G$98</f>
        <v>0</v>
      </c>
      <c r="H144" s="68">
        <f>H$98</f>
        <v>0</v>
      </c>
      <c r="I144" s="68">
        <f t="shared" ref="I144" si="66">I$98</f>
        <v>0</v>
      </c>
    </row>
    <row r="145" spans="2:9" ht="13.5">
      <c r="B145" s="69" t="str">
        <f>"          KURSORISK"</f>
        <v xml:space="preserve">          KURSORISK</v>
      </c>
      <c r="C145" s="67"/>
      <c r="D145" s="66"/>
      <c r="E145" s="66"/>
      <c r="F145" s="66"/>
      <c r="G145" s="70">
        <f>SUM(G$95:G$96)</f>
        <v>0</v>
      </c>
      <c r="H145" s="70">
        <f t="shared" ref="H145:I145" si="67">SUM(H$95:H$96)</f>
        <v>0</v>
      </c>
      <c r="I145" s="70">
        <f t="shared" si="67"/>
        <v>0</v>
      </c>
    </row>
    <row r="146" spans="2:9" ht="13.5">
      <c r="B146" s="69" t="str">
        <f>"          ANALYSE"</f>
        <v xml:space="preserve">          ANALYSE</v>
      </c>
      <c r="C146" s="67"/>
      <c r="D146" s="66"/>
      <c r="E146" s="66"/>
      <c r="F146" s="66"/>
      <c r="G146" s="70">
        <f>G$97</f>
        <v>0</v>
      </c>
      <c r="H146" s="70">
        <f t="shared" ref="H146:I146" si="68">H$97</f>
        <v>0</v>
      </c>
      <c r="I146" s="70">
        <f t="shared" si="68"/>
        <v>0</v>
      </c>
    </row>
    <row r="147" spans="2:9" ht="13.5">
      <c r="B147" s="71" t="str">
        <f>B$99</f>
        <v>SLAGGER</v>
      </c>
      <c r="C147" s="72" t="s">
        <v>135</v>
      </c>
      <c r="D147" s="13"/>
      <c r="E147" s="71"/>
      <c r="F147" s="71"/>
      <c r="G147" s="68">
        <f>G$103</f>
        <v>0</v>
      </c>
      <c r="H147" s="68">
        <f>H$103</f>
        <v>0</v>
      </c>
      <c r="I147" s="68">
        <f>I$103</f>
        <v>0</v>
      </c>
    </row>
    <row r="148" spans="2:9" ht="13.5">
      <c r="B148" s="71" t="s">
        <v>160</v>
      </c>
      <c r="C148" s="72" t="s">
        <v>135</v>
      </c>
      <c r="D148" s="13"/>
      <c r="E148" s="71"/>
      <c r="F148" s="71"/>
      <c r="G148" s="68">
        <f>G$106</f>
        <v>0</v>
      </c>
      <c r="H148" s="68">
        <f t="shared" ref="H148:I148" si="69">H$106</f>
        <v>0</v>
      </c>
      <c r="I148" s="68">
        <f t="shared" si="69"/>
        <v>0</v>
      </c>
    </row>
    <row r="149" spans="2:9" ht="13.5">
      <c r="B149" s="71" t="s">
        <v>158</v>
      </c>
      <c r="C149" s="72" t="s">
        <v>135</v>
      </c>
      <c r="D149" s="13"/>
      <c r="E149" s="71"/>
      <c r="F149" s="71"/>
      <c r="G149" s="68">
        <f>G$111</f>
        <v>0</v>
      </c>
      <c r="H149" s="68">
        <f t="shared" ref="H149:I149" si="70">H$111</f>
        <v>0</v>
      </c>
      <c r="I149" s="68">
        <f t="shared" si="70"/>
        <v>0</v>
      </c>
    </row>
    <row r="150" spans="2:9" ht="13.5">
      <c r="B150" s="71" t="str">
        <f>B$112</f>
        <v>FORSENDELSE MM.</v>
      </c>
      <c r="C150" s="72" t="s">
        <v>135</v>
      </c>
      <c r="D150" s="13"/>
      <c r="E150" s="71"/>
      <c r="F150" s="71"/>
      <c r="G150" s="68">
        <f>G$116</f>
        <v>0</v>
      </c>
      <c r="H150" s="68">
        <f>H$116</f>
        <v>0</v>
      </c>
      <c r="I150" s="68">
        <f t="shared" ref="I150" si="71">I$116</f>
        <v>0</v>
      </c>
    </row>
    <row r="151" spans="2:9" ht="13.5">
      <c r="B151" s="73" t="s">
        <v>239</v>
      </c>
      <c r="C151" s="74"/>
      <c r="D151" s="74"/>
      <c r="E151" s="74"/>
      <c r="F151" s="74"/>
      <c r="G151" s="14">
        <f>SUMIF($C$119:$C$150,"SUM",G$119:G$150)</f>
        <v>0</v>
      </c>
      <c r="H151" s="14">
        <f>SUMIF($C$119:$C$150,"SUM",H$119:H$150)</f>
        <v>0</v>
      </c>
      <c r="I151" s="14">
        <f>SUMIF($C$119:$C$150,"SUM",I$119:I$150)</f>
        <v>0</v>
      </c>
    </row>
    <row r="152" spans="2:9" ht="12" customHeight="1">
      <c r="B152" s="46"/>
      <c r="C152" s="46"/>
      <c r="D152" s="46"/>
      <c r="E152" s="46"/>
      <c r="F152" s="46"/>
      <c r="G152" s="46"/>
      <c r="H152" s="46"/>
      <c r="I152" s="46"/>
    </row>
    <row r="153" spans="2:9"/>
    <row r="154" spans="2:9"/>
    <row r="155" spans="2:9"/>
    <row r="156" spans="2:9"/>
    <row r="157" spans="2:9"/>
    <row r="159" spans="2:9"/>
    <row r="160" spans="2:9" ht="11.25" hidden="1" customHeight="1"/>
  </sheetData>
  <sheetProtection algorithmName="SHA-512" hashValue="mucfohKkfsXOxs7plRsr5v9uVpqFuNhB4F7t3CAEMm7CtJQR5OCLRpRCAybQrprw/b4TezYj12TcAi22By3N/g==" saltValue="0JPIC+M5UzEs6Ks0dPiwmQ==" spinCount="100000" sheet="1" objects="1" scenarios="1"/>
  <mergeCells count="1">
    <mergeCell ref="G8:H8"/>
  </mergeCells>
  <dataValidations count="3">
    <dataValidation type="decimal" allowBlank="1" showInputMessage="1" showErrorMessage="1" sqref="E111" xr:uid="{0A3564CE-2D9C-4182-AC19-B56DCFB0BB63}">
      <formula1>0</formula1>
      <formula2>1000</formula2>
    </dataValidation>
    <dataValidation type="decimal" allowBlank="1" showInputMessage="1" showErrorMessage="1" errorTitle="Antal enheder" error="Indtast antallet af prøver, timer eller andre enheder." sqref="E113:E115 E19:E21 E11:E15 E30:E35 E48:E49 E53 E57 E59:E60 E64:E74 E86:E89 E92 E96:E97 E101 E105 E39:E44 E78:E82" xr:uid="{1E38F204-8245-46E4-8189-E3245BC0DB1C}">
      <formula1>0</formula1>
      <formula2>1000</formula2>
    </dataValidation>
    <dataValidation allowBlank="1" showInputMessage="1" showErrorMessage="1" errorTitle="Antal enheder" error="Indtast antallet af prøver, timer eller andre enheder." sqref="E16 E109:E110" xr:uid="{FA5305F0-C264-44D4-938D-56F9937044DF}"/>
  </dataValidations>
  <pageMargins left="0.25" right="0.25" top="0.75" bottom="0.75" header="0.3" footer="0.3"/>
  <pageSetup paperSize="9" scale="45" fitToHeight="0" orientation="portrait" r:id="rId1"/>
  <ignoredErrors>
    <ignoredError sqref="G73 G58 I73"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3295650</xdr:colOff>
                    <xdr:row>28</xdr:row>
                    <xdr:rowOff>0</xdr:rowOff>
                  </from>
                  <to>
                    <xdr:col>2</xdr:col>
                    <xdr:colOff>257175</xdr:colOff>
                    <xdr:row>29</xdr:row>
                    <xdr:rowOff>19050</xdr:rowOff>
                  </to>
                </anchor>
              </controlPr>
            </control>
          </mc:Choice>
        </mc:AlternateContent>
        <mc:AlternateContent xmlns:mc="http://schemas.openxmlformats.org/markup-compatibility/2006">
          <mc:Choice Requires="x14">
            <control shapeId="4099" r:id="rId5" name="Check Box 3">
              <controlPr locked="0" defaultSize="0" autoFill="0" autoLine="0" autoPict="0">
                <anchor moveWithCells="1">
                  <from>
                    <xdr:col>1</xdr:col>
                    <xdr:colOff>3305175</xdr:colOff>
                    <xdr:row>46</xdr:row>
                    <xdr:rowOff>9525</xdr:rowOff>
                  </from>
                  <to>
                    <xdr:col>2</xdr:col>
                    <xdr:colOff>257175</xdr:colOff>
                    <xdr:row>47</xdr:row>
                    <xdr:rowOff>28575</xdr:rowOff>
                  </to>
                </anchor>
              </controlPr>
            </control>
          </mc:Choice>
        </mc:AlternateContent>
        <mc:AlternateContent xmlns:mc="http://schemas.openxmlformats.org/markup-compatibility/2006">
          <mc:Choice Requires="x14">
            <control shapeId="4101" r:id="rId6" name="Check Box 5">
              <controlPr defaultSize="0" autoFill="0" autoLine="0" autoPict="0">
                <anchor moveWithCells="1">
                  <from>
                    <xdr:col>1</xdr:col>
                    <xdr:colOff>3305175</xdr:colOff>
                    <xdr:row>55</xdr:row>
                    <xdr:rowOff>9525</xdr:rowOff>
                  </from>
                  <to>
                    <xdr:col>2</xdr:col>
                    <xdr:colOff>257175</xdr:colOff>
                    <xdr:row>56</xdr:row>
                    <xdr:rowOff>28575</xdr:rowOff>
                  </to>
                </anchor>
              </controlPr>
            </control>
          </mc:Choice>
        </mc:AlternateContent>
        <mc:AlternateContent xmlns:mc="http://schemas.openxmlformats.org/markup-compatibility/2006">
          <mc:Choice Requires="x14">
            <control shapeId="4105" r:id="rId7" name="Check Box 9">
              <controlPr defaultSize="0" autoFill="0" autoLine="0" autoPict="0">
                <anchor moveWithCells="1">
                  <from>
                    <xdr:col>1</xdr:col>
                    <xdr:colOff>3305175</xdr:colOff>
                    <xdr:row>76</xdr:row>
                    <xdr:rowOff>9525</xdr:rowOff>
                  </from>
                  <to>
                    <xdr:col>2</xdr:col>
                    <xdr:colOff>257175</xdr:colOff>
                    <xdr:row>77</xdr:row>
                    <xdr:rowOff>28575</xdr:rowOff>
                  </to>
                </anchor>
              </controlPr>
            </control>
          </mc:Choice>
        </mc:AlternateContent>
        <mc:AlternateContent xmlns:mc="http://schemas.openxmlformats.org/markup-compatibility/2006">
          <mc:Choice Requires="x14">
            <control shapeId="4107" r:id="rId8" name="Check Box 11">
              <controlPr defaultSize="0" autoFill="0" autoLine="0" autoPict="0">
                <anchor moveWithCells="1">
                  <from>
                    <xdr:col>1</xdr:col>
                    <xdr:colOff>3305175</xdr:colOff>
                    <xdr:row>84</xdr:row>
                    <xdr:rowOff>9525</xdr:rowOff>
                  </from>
                  <to>
                    <xdr:col>2</xdr:col>
                    <xdr:colOff>257175</xdr:colOff>
                    <xdr:row>85</xdr:row>
                    <xdr:rowOff>28575</xdr:rowOff>
                  </to>
                </anchor>
              </controlPr>
            </control>
          </mc:Choice>
        </mc:AlternateContent>
        <mc:AlternateContent xmlns:mc="http://schemas.openxmlformats.org/markup-compatibility/2006">
          <mc:Choice Requires="x14">
            <control shapeId="4112" r:id="rId9" name="Check Box 16">
              <controlPr defaultSize="0" autoFill="0" autoLine="0" autoPict="0">
                <anchor moveWithCells="1">
                  <from>
                    <xdr:col>1</xdr:col>
                    <xdr:colOff>3305175</xdr:colOff>
                    <xdr:row>94</xdr:row>
                    <xdr:rowOff>9525</xdr:rowOff>
                  </from>
                  <to>
                    <xdr:col>2</xdr:col>
                    <xdr:colOff>257175</xdr:colOff>
                    <xdr:row>95</xdr:row>
                    <xdr:rowOff>28575</xdr:rowOff>
                  </to>
                </anchor>
              </controlPr>
            </control>
          </mc:Choice>
        </mc:AlternateContent>
        <mc:AlternateContent xmlns:mc="http://schemas.openxmlformats.org/markup-compatibility/2006">
          <mc:Choice Requires="x14">
            <control shapeId="4116" r:id="rId10" name="Check Box 20">
              <controlPr defaultSize="0" autoFill="0" autoLine="0" autoPict="0">
                <anchor moveWithCells="1">
                  <from>
                    <xdr:col>1</xdr:col>
                    <xdr:colOff>3305175</xdr:colOff>
                    <xdr:row>99</xdr:row>
                    <xdr:rowOff>9525</xdr:rowOff>
                  </from>
                  <to>
                    <xdr:col>2</xdr:col>
                    <xdr:colOff>257175</xdr:colOff>
                    <xdr:row>100</xdr:row>
                    <xdr:rowOff>28575</xdr:rowOff>
                  </to>
                </anchor>
              </controlPr>
            </control>
          </mc:Choice>
        </mc:AlternateContent>
        <mc:AlternateContent xmlns:mc="http://schemas.openxmlformats.org/markup-compatibility/2006">
          <mc:Choice Requires="x14">
            <control shapeId="4118" r:id="rId11" name="Check Box 22">
              <controlPr defaultSize="0" autoFill="0" autoLine="0" autoPict="0">
                <anchor moveWithCells="1">
                  <from>
                    <xdr:col>1</xdr:col>
                    <xdr:colOff>3305175</xdr:colOff>
                    <xdr:row>107</xdr:row>
                    <xdr:rowOff>9525</xdr:rowOff>
                  </from>
                  <to>
                    <xdr:col>2</xdr:col>
                    <xdr:colOff>257175</xdr:colOff>
                    <xdr:row>108</xdr:row>
                    <xdr:rowOff>28575</xdr:rowOff>
                  </to>
                </anchor>
              </controlPr>
            </control>
          </mc:Choice>
        </mc:AlternateContent>
        <mc:AlternateContent xmlns:mc="http://schemas.openxmlformats.org/markup-compatibility/2006">
          <mc:Choice Requires="x14">
            <control shapeId="4119" r:id="rId12" name="Check Box 23">
              <controlPr defaultSize="0" autoFill="0" autoLine="0" autoPict="0">
                <anchor moveWithCells="1">
                  <from>
                    <xdr:col>1</xdr:col>
                    <xdr:colOff>3295650</xdr:colOff>
                    <xdr:row>23</xdr:row>
                    <xdr:rowOff>0</xdr:rowOff>
                  </from>
                  <to>
                    <xdr:col>2</xdr:col>
                    <xdr:colOff>257175</xdr:colOff>
                    <xdr:row>24</xdr:row>
                    <xdr:rowOff>19050</xdr:rowOff>
                  </to>
                </anchor>
              </controlPr>
            </control>
          </mc:Choice>
        </mc:AlternateContent>
        <mc:AlternateContent xmlns:mc="http://schemas.openxmlformats.org/markup-compatibility/2006">
          <mc:Choice Requires="x14">
            <control shapeId="4103" r:id="rId13" name="Check Box 7">
              <controlPr defaultSize="0" autoFill="0" autoLine="0" autoPict="0">
                <anchor moveWithCells="1">
                  <from>
                    <xdr:col>1</xdr:col>
                    <xdr:colOff>3305175</xdr:colOff>
                    <xdr:row>62</xdr:row>
                    <xdr:rowOff>9525</xdr:rowOff>
                  </from>
                  <to>
                    <xdr:col>2</xdr:col>
                    <xdr:colOff>257175</xdr:colOff>
                    <xdr:row>63</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F5CC6-1AB7-497F-98F2-D86FE7BE82C4}">
  <sheetPr codeName="Ark3">
    <tabColor theme="3" tint="-0.249977111117893"/>
    <pageSetUpPr fitToPage="1"/>
  </sheetPr>
  <dimension ref="B1:S53"/>
  <sheetViews>
    <sheetView showGridLines="0" zoomScaleNormal="100" workbookViewId="0">
      <selection activeCell="B6" sqref="B6"/>
    </sheetView>
  </sheetViews>
  <sheetFormatPr defaultColWidth="0" defaultRowHeight="12.75" zeroHeight="1"/>
  <cols>
    <col min="1" max="1" width="5.7109375" customWidth="1"/>
    <col min="2" max="2" width="69.28515625" customWidth="1"/>
    <col min="3" max="3" width="29.140625" customWidth="1"/>
    <col min="4" max="4" width="9.85546875" customWidth="1"/>
    <col min="5" max="7" width="29.5703125" customWidth="1"/>
    <col min="8" max="8" width="5.7109375" customWidth="1"/>
    <col min="9" max="9" width="8.7109375" hidden="1" customWidth="1"/>
    <col min="10" max="10" width="13.42578125" hidden="1" customWidth="1"/>
    <col min="11" max="11" width="12.42578125" hidden="1" customWidth="1"/>
    <col min="12" max="12" width="8.5703125" hidden="1" customWidth="1"/>
    <col min="13" max="13" width="26.42578125" hidden="1" customWidth="1"/>
    <col min="14" max="19" width="18" hidden="1" customWidth="1"/>
    <col min="20" max="20" width="0" hidden="1" customWidth="1"/>
  </cols>
  <sheetData>
    <row r="1" spans="2:7" ht="22.5" customHeight="1"/>
    <row r="2" spans="2:7" ht="12.75" customHeight="1">
      <c r="B2" s="16"/>
      <c r="C2" s="16"/>
      <c r="D2" s="16"/>
      <c r="E2" s="16"/>
      <c r="F2" s="16"/>
      <c r="G2" s="16"/>
    </row>
    <row r="3" spans="2:7" ht="29.25" customHeight="1">
      <c r="B3" s="17" t="s">
        <v>254</v>
      </c>
      <c r="C3" s="17"/>
      <c r="D3" s="18"/>
      <c r="E3" s="19"/>
      <c r="F3" s="20"/>
      <c r="G3" s="20" t="e" vm="1">
        <v>#VALUE!</v>
      </c>
    </row>
    <row r="4" spans="2:7" ht="60" customHeight="1">
      <c r="B4" s="111" t="s">
        <v>336</v>
      </c>
      <c r="C4" s="111"/>
      <c r="D4" s="111"/>
      <c r="E4" s="111"/>
      <c r="F4" s="111"/>
      <c r="G4" s="111"/>
    </row>
    <row r="5" spans="2:7" ht="22.5" customHeight="1">
      <c r="B5" s="22"/>
      <c r="C5" s="23"/>
      <c r="D5" s="50"/>
      <c r="E5" s="50"/>
      <c r="F5" s="24" t="s">
        <v>86</v>
      </c>
      <c r="G5" s="24">
        <v>750</v>
      </c>
    </row>
    <row r="6" spans="2:7" ht="15" customHeight="1">
      <c r="B6" s="3" t="s">
        <v>252</v>
      </c>
      <c r="C6" s="15" t="s">
        <v>253</v>
      </c>
      <c r="D6" s="15" t="s">
        <v>243</v>
      </c>
      <c r="E6" s="15" t="s">
        <v>244</v>
      </c>
      <c r="F6" s="15" t="s">
        <v>134</v>
      </c>
      <c r="G6" s="15" t="s">
        <v>245</v>
      </c>
    </row>
    <row r="7" spans="2:7" ht="15" customHeight="1">
      <c r="B7" s="5" t="s">
        <v>75</v>
      </c>
      <c r="C7" s="54">
        <f>16*$G$5</f>
        <v>12000</v>
      </c>
      <c r="D7" s="79"/>
      <c r="E7" s="81">
        <f>C7*D7</f>
        <v>0</v>
      </c>
      <c r="F7" s="81">
        <f>E7*0.25</f>
        <v>0</v>
      </c>
      <c r="G7" s="81">
        <f>SUM(E7:F7)</f>
        <v>0</v>
      </c>
    </row>
    <row r="8" spans="2:7" ht="15" customHeight="1">
      <c r="B8" s="4" t="s">
        <v>76</v>
      </c>
      <c r="C8" s="52">
        <f>16*$G$5</f>
        <v>12000</v>
      </c>
      <c r="D8" s="77"/>
      <c r="E8" s="82">
        <f t="shared" ref="E8:E11" si="0">C8*D8</f>
        <v>0</v>
      </c>
      <c r="F8" s="82">
        <f t="shared" ref="F8:F18" si="1">E8*0.25</f>
        <v>0</v>
      </c>
      <c r="G8" s="82">
        <f t="shared" ref="G8:G12" si="2">SUM(E8:F8)</f>
        <v>0</v>
      </c>
    </row>
    <row r="9" spans="2:7" ht="15" customHeight="1">
      <c r="B9" s="5" t="s">
        <v>77</v>
      </c>
      <c r="C9" s="54">
        <f>144*$G$5</f>
        <v>108000</v>
      </c>
      <c r="D9" s="79"/>
      <c r="E9" s="81">
        <f t="shared" si="0"/>
        <v>0</v>
      </c>
      <c r="F9" s="81">
        <f t="shared" si="1"/>
        <v>0</v>
      </c>
      <c r="G9" s="81">
        <f t="shared" si="2"/>
        <v>0</v>
      </c>
    </row>
    <row r="10" spans="2:7" ht="15" customHeight="1">
      <c r="B10" s="4" t="s">
        <v>78</v>
      </c>
      <c r="C10" s="52">
        <f>64*$G$5</f>
        <v>48000</v>
      </c>
      <c r="D10" s="77"/>
      <c r="E10" s="82">
        <f t="shared" si="0"/>
        <v>0</v>
      </c>
      <c r="F10" s="82">
        <f t="shared" si="1"/>
        <v>0</v>
      </c>
      <c r="G10" s="82">
        <f t="shared" si="2"/>
        <v>0</v>
      </c>
    </row>
    <row r="11" spans="2:7" ht="15" customHeight="1">
      <c r="B11" s="5" t="s">
        <v>79</v>
      </c>
      <c r="C11" s="54">
        <f>104*$G$5</f>
        <v>78000</v>
      </c>
      <c r="D11" s="79"/>
      <c r="E11" s="81">
        <f t="shared" si="0"/>
        <v>0</v>
      </c>
      <c r="F11" s="81">
        <f t="shared" si="1"/>
        <v>0</v>
      </c>
      <c r="G11" s="81">
        <f t="shared" si="2"/>
        <v>0</v>
      </c>
    </row>
    <row r="12" spans="2:7" ht="15" customHeight="1">
      <c r="B12" s="4" t="s">
        <v>25</v>
      </c>
      <c r="C12" s="52">
        <f>16*$G$5</f>
        <v>12000</v>
      </c>
      <c r="D12" s="77"/>
      <c r="E12" s="82">
        <f>C12*D12</f>
        <v>0</v>
      </c>
      <c r="F12" s="82">
        <f t="shared" si="1"/>
        <v>0</v>
      </c>
      <c r="G12" s="82">
        <f t="shared" si="2"/>
        <v>0</v>
      </c>
    </row>
    <row r="13" spans="2:7" ht="15" customHeight="1">
      <c r="B13" s="5" t="s">
        <v>26</v>
      </c>
      <c r="C13" s="54">
        <f>24*$G$5</f>
        <v>18000</v>
      </c>
      <c r="D13" s="79"/>
      <c r="E13" s="81">
        <f t="shared" ref="E13:E18" si="3">C13*D13</f>
        <v>0</v>
      </c>
      <c r="F13" s="81">
        <f t="shared" si="1"/>
        <v>0</v>
      </c>
      <c r="G13" s="81">
        <f t="shared" ref="G13:G18" si="4">SUM(E13:F13)</f>
        <v>0</v>
      </c>
    </row>
    <row r="14" spans="2:7" ht="15" customHeight="1">
      <c r="B14" s="4" t="s">
        <v>80</v>
      </c>
      <c r="C14" s="52">
        <f>24*$G$5</f>
        <v>18000</v>
      </c>
      <c r="D14" s="77"/>
      <c r="E14" s="82">
        <f t="shared" si="3"/>
        <v>0</v>
      </c>
      <c r="F14" s="82">
        <f t="shared" si="1"/>
        <v>0</v>
      </c>
      <c r="G14" s="82">
        <f t="shared" si="4"/>
        <v>0</v>
      </c>
    </row>
    <row r="15" spans="2:7" ht="15" customHeight="1">
      <c r="B15" s="5" t="s">
        <v>81</v>
      </c>
      <c r="C15" s="54">
        <f>24*$G$5</f>
        <v>18000</v>
      </c>
      <c r="D15" s="79"/>
      <c r="E15" s="81">
        <f t="shared" si="3"/>
        <v>0</v>
      </c>
      <c r="F15" s="81">
        <f t="shared" si="1"/>
        <v>0</v>
      </c>
      <c r="G15" s="81">
        <f t="shared" si="4"/>
        <v>0</v>
      </c>
    </row>
    <row r="16" spans="2:7" ht="15" customHeight="1">
      <c r="B16" s="4" t="s">
        <v>72</v>
      </c>
      <c r="C16" s="52">
        <f>32*$G$5</f>
        <v>24000</v>
      </c>
      <c r="D16" s="77"/>
      <c r="E16" s="82">
        <f t="shared" si="3"/>
        <v>0</v>
      </c>
      <c r="F16" s="82">
        <f t="shared" si="1"/>
        <v>0</v>
      </c>
      <c r="G16" s="82">
        <f t="shared" si="4"/>
        <v>0</v>
      </c>
    </row>
    <row r="17" spans="2:7" ht="15" customHeight="1">
      <c r="B17" s="5" t="s">
        <v>27</v>
      </c>
      <c r="C17" s="54">
        <f>40*$G$5</f>
        <v>30000</v>
      </c>
      <c r="D17" s="79"/>
      <c r="E17" s="81">
        <f t="shared" si="3"/>
        <v>0</v>
      </c>
      <c r="F17" s="81">
        <f t="shared" si="1"/>
        <v>0</v>
      </c>
      <c r="G17" s="81">
        <f t="shared" si="4"/>
        <v>0</v>
      </c>
    </row>
    <row r="18" spans="2:7" ht="15" customHeight="1">
      <c r="B18" s="4" t="s">
        <v>82</v>
      </c>
      <c r="C18" s="52">
        <f>24*$G$5</f>
        <v>18000</v>
      </c>
      <c r="D18" s="77"/>
      <c r="E18" s="82">
        <f t="shared" si="3"/>
        <v>0</v>
      </c>
      <c r="F18" s="82">
        <f t="shared" si="1"/>
        <v>0</v>
      </c>
      <c r="G18" s="82">
        <f t="shared" si="4"/>
        <v>0</v>
      </c>
    </row>
    <row r="19" spans="2:7" ht="15.75">
      <c r="B19" s="8" t="s">
        <v>256</v>
      </c>
      <c r="C19" s="57"/>
      <c r="D19" s="57"/>
      <c r="E19" s="83">
        <f>SUM(E7:E18)</f>
        <v>0</v>
      </c>
      <c r="F19" s="83">
        <f>E19*0.25</f>
        <v>0</v>
      </c>
      <c r="G19" s="83">
        <f>SUM(E19:F19)</f>
        <v>0</v>
      </c>
    </row>
    <row r="20" spans="2:7" ht="12.95" customHeight="1"/>
    <row r="21" spans="2:7" ht="12.95" customHeight="1"/>
    <row r="22" spans="2:7" ht="12.95" hidden="1" customHeight="1"/>
    <row r="23" spans="2:7" ht="12.95" hidden="1" customHeight="1"/>
    <row r="24" spans="2:7" ht="12.95" hidden="1" customHeight="1"/>
    <row r="25" spans="2:7" ht="12.95" hidden="1" customHeight="1"/>
    <row r="26" spans="2:7" ht="12.95" hidden="1" customHeight="1"/>
    <row r="27" spans="2:7" ht="12.95" hidden="1" customHeight="1"/>
    <row r="28" spans="2:7" ht="12.95" hidden="1" customHeight="1"/>
    <row r="29" spans="2:7" ht="12.95" hidden="1" customHeight="1"/>
    <row r="30" spans="2:7" ht="12.95" hidden="1" customHeight="1"/>
    <row r="31" spans="2:7" ht="12.95" hidden="1" customHeight="1"/>
    <row r="32" spans="2:7" ht="12.95" hidden="1" customHeight="1"/>
    <row r="33" ht="12.95" hidden="1" customHeight="1"/>
    <row r="34" ht="12.95" hidden="1" customHeight="1"/>
    <row r="35" ht="12.95" hidden="1" customHeight="1"/>
    <row r="36" ht="12.95" hidden="1" customHeight="1"/>
    <row r="37" ht="12.95" hidden="1" customHeight="1"/>
    <row r="38" ht="12.95" hidden="1" customHeight="1"/>
    <row r="39" ht="12.95" hidden="1" customHeight="1"/>
    <row r="40" ht="12.95" hidden="1" customHeight="1"/>
    <row r="41" ht="12.95" hidden="1" customHeight="1"/>
    <row r="42" ht="12.95" hidden="1" customHeight="1"/>
    <row r="43" ht="12.95" hidden="1" customHeight="1"/>
    <row r="44" ht="12.95" hidden="1" customHeight="1"/>
    <row r="45" ht="12.95" hidden="1" customHeight="1"/>
    <row r="46" ht="12.95" hidden="1" customHeight="1"/>
    <row r="47" ht="12.95" hidden="1" customHeight="1"/>
    <row r="48" ht="12.95" hidden="1" customHeight="1"/>
    <row r="49" ht="12.95" hidden="1" customHeight="1"/>
    <row r="50" ht="12.95" hidden="1" customHeight="1"/>
    <row r="51" ht="12.95" hidden="1" customHeight="1"/>
    <row r="52" ht="12.95" hidden="1" customHeight="1"/>
    <row r="53" ht="12.95" hidden="1" customHeight="1"/>
  </sheetData>
  <sheetProtection algorithmName="SHA-512" hashValue="MRb3YYMOPEHqhKVqteWFoVQSofHT/87SG1fAIWKk/Qf8IkY1x31cOfpuQKlkQR4K2tmfXcT8qP5Ogba0T7D9eA==" saltValue="jqrgV1fdK/r3sV6Y3fjh/w==" spinCount="100000" sheet="1" objects="1" scenarios="1"/>
  <mergeCells count="1">
    <mergeCell ref="B4:G4"/>
  </mergeCells>
  <dataValidations count="1">
    <dataValidation type="whole" allowBlank="1" showInputMessage="1" showErrorMessage="1" sqref="D7:D18" xr:uid="{E1DEAF5F-B3CC-4BE9-87A7-F2A635D150DF}">
      <formula1>0</formula1>
      <formula2>1000</formula2>
    </dataValidation>
  </dataValidations>
  <pageMargins left="0.25" right="0.25" top="0.75" bottom="0.75" header="0.3" footer="0.3"/>
  <pageSetup paperSize="9" scale="6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4030D-602C-405C-AA1F-6A2DEC6C489A}">
  <sheetPr codeName="Ark5">
    <tabColor theme="2" tint="-0.499984740745262"/>
    <pageSetUpPr fitToPage="1"/>
  </sheetPr>
  <dimension ref="B1:N111"/>
  <sheetViews>
    <sheetView showGridLines="0" zoomScaleNormal="100" zoomScaleSheetLayoutView="50" zoomScalePageLayoutView="70" workbookViewId="0">
      <selection activeCell="B6" sqref="B6"/>
    </sheetView>
  </sheetViews>
  <sheetFormatPr defaultColWidth="0" defaultRowHeight="12.75" zeroHeight="1"/>
  <cols>
    <col min="1" max="1" width="5.7109375" customWidth="1"/>
    <col min="2" max="2" width="30.140625" customWidth="1"/>
    <col min="3" max="3" width="64" customWidth="1"/>
    <col min="4" max="4" width="23.28515625" customWidth="1"/>
    <col min="5" max="5" width="20.5703125" customWidth="1"/>
    <col min="6" max="6" width="29.42578125" customWidth="1"/>
    <col min="7" max="7" width="29.5703125" customWidth="1"/>
    <col min="8" max="8" width="5.7109375" customWidth="1"/>
    <col min="9" max="9" width="19.7109375" hidden="1" customWidth="1"/>
    <col min="10" max="10" width="39.7109375" hidden="1" customWidth="1"/>
    <col min="11" max="11" width="82.5703125" hidden="1" customWidth="1"/>
    <col min="12" max="12" width="74.85546875" hidden="1" customWidth="1"/>
    <col min="13" max="13" width="20.28515625" hidden="1" customWidth="1"/>
    <col min="14" max="14" width="12.7109375" hidden="1" customWidth="1"/>
    <col min="15" max="15" width="0" hidden="1" customWidth="1"/>
  </cols>
  <sheetData>
    <row r="1" spans="2:7" ht="22.5" customHeight="1"/>
    <row r="2" spans="2:7" ht="12.75" customHeight="1">
      <c r="B2" s="86"/>
      <c r="C2" s="86"/>
      <c r="D2" s="86"/>
      <c r="E2" s="86"/>
      <c r="F2" s="86"/>
      <c r="G2" s="84"/>
    </row>
    <row r="3" spans="2:7" ht="29.25" customHeight="1">
      <c r="B3" s="87" t="s">
        <v>257</v>
      </c>
      <c r="C3" s="87"/>
      <c r="D3" s="88"/>
      <c r="E3" s="89"/>
      <c r="F3" s="90"/>
      <c r="G3" s="90" t="e" vm="1">
        <v>#VALUE!</v>
      </c>
    </row>
    <row r="4" spans="2:7" ht="60" customHeight="1">
      <c r="B4" s="112" t="s">
        <v>335</v>
      </c>
      <c r="C4" s="112"/>
      <c r="D4" s="112"/>
      <c r="E4" s="112"/>
      <c r="F4" s="91"/>
      <c r="G4" s="85"/>
    </row>
    <row r="5" spans="2:7" ht="22.5" customHeight="1">
      <c r="B5" s="92" t="s">
        <v>258</v>
      </c>
      <c r="C5" s="92"/>
      <c r="D5" s="92"/>
      <c r="E5" s="92"/>
      <c r="F5" s="91" t="s">
        <v>86</v>
      </c>
      <c r="G5" s="91">
        <v>750</v>
      </c>
    </row>
    <row r="6" spans="2:7" ht="15.75">
      <c r="B6" s="3" t="s">
        <v>232</v>
      </c>
      <c r="C6" s="3" t="s">
        <v>233</v>
      </c>
      <c r="D6" s="3" t="s">
        <v>234</v>
      </c>
      <c r="E6" s="15" t="s">
        <v>259</v>
      </c>
      <c r="F6" s="15" t="s">
        <v>260</v>
      </c>
      <c r="G6" s="3"/>
    </row>
    <row r="7" spans="2:7" ht="18.75">
      <c r="B7" s="93" t="s">
        <v>306</v>
      </c>
      <c r="C7" s="93"/>
      <c r="D7" s="93"/>
      <c r="E7" s="94"/>
      <c r="F7" s="93"/>
      <c r="G7" s="93"/>
    </row>
    <row r="8" spans="2:7" ht="13.5">
      <c r="B8" s="4" t="s">
        <v>0</v>
      </c>
      <c r="C8" s="4" t="s">
        <v>66</v>
      </c>
      <c r="D8" s="4"/>
      <c r="E8" s="12"/>
      <c r="F8" s="9">
        <f>$G$5</f>
        <v>750</v>
      </c>
      <c r="G8" s="4" t="s">
        <v>43</v>
      </c>
    </row>
    <row r="9" spans="2:7" ht="13.5">
      <c r="B9" s="5" t="s">
        <v>2</v>
      </c>
      <c r="C9" s="5" t="s">
        <v>55</v>
      </c>
      <c r="D9" s="5"/>
      <c r="E9" s="11"/>
      <c r="F9" s="10">
        <f t="shared" ref="F9" si="0">$G$5</f>
        <v>750</v>
      </c>
      <c r="G9" s="5" t="s">
        <v>43</v>
      </c>
    </row>
    <row r="10" spans="2:7" ht="13.5">
      <c r="B10" s="4" t="s">
        <v>3</v>
      </c>
      <c r="C10" s="4" t="s">
        <v>56</v>
      </c>
      <c r="D10" s="4"/>
      <c r="E10" s="12"/>
      <c r="F10" s="9">
        <f>$G$5</f>
        <v>750</v>
      </c>
      <c r="G10" s="4" t="s">
        <v>43</v>
      </c>
    </row>
    <row r="11" spans="2:7" ht="13.5">
      <c r="B11" s="5" t="s">
        <v>4</v>
      </c>
      <c r="C11" s="5" t="s">
        <v>169</v>
      </c>
      <c r="D11" s="5"/>
      <c r="E11" s="11"/>
      <c r="F11" s="10">
        <v>3.94</v>
      </c>
      <c r="G11" s="5" t="s">
        <v>44</v>
      </c>
    </row>
    <row r="12" spans="2:7" ht="13.5">
      <c r="B12" s="4" t="s">
        <v>6</v>
      </c>
      <c r="C12" s="4" t="s">
        <v>170</v>
      </c>
      <c r="D12" s="4"/>
      <c r="E12" s="12"/>
      <c r="F12" s="9">
        <v>100</v>
      </c>
      <c r="G12" s="4" t="s">
        <v>29</v>
      </c>
    </row>
    <row r="13" spans="2:7" ht="18.75">
      <c r="B13" s="93" t="s">
        <v>89</v>
      </c>
      <c r="C13" s="93"/>
      <c r="D13" s="93"/>
      <c r="E13" s="94"/>
      <c r="F13" s="95"/>
      <c r="G13" s="93"/>
    </row>
    <row r="14" spans="2:7" ht="13.5">
      <c r="B14" s="4" t="s">
        <v>60</v>
      </c>
      <c r="C14" s="4"/>
      <c r="D14" s="4"/>
      <c r="E14" s="12"/>
      <c r="F14" s="9">
        <f>$G$5*2</f>
        <v>1500</v>
      </c>
      <c r="G14" s="4" t="s">
        <v>46</v>
      </c>
    </row>
    <row r="15" spans="2:7" ht="13.5">
      <c r="B15" s="5" t="s">
        <v>185</v>
      </c>
      <c r="C15" s="5" t="s">
        <v>55</v>
      </c>
      <c r="D15" s="5"/>
      <c r="E15" s="11">
        <v>6</v>
      </c>
      <c r="F15" s="10">
        <f>$G$5*E15</f>
        <v>4500</v>
      </c>
      <c r="G15" s="5" t="s">
        <v>90</v>
      </c>
    </row>
    <row r="16" spans="2:7" ht="13.5">
      <c r="B16" s="4" t="s">
        <v>186</v>
      </c>
      <c r="C16" s="4" t="s">
        <v>55</v>
      </c>
      <c r="D16" s="4"/>
      <c r="E16" s="12">
        <v>4</v>
      </c>
      <c r="F16" s="9">
        <f>$G$5*E16</f>
        <v>3000</v>
      </c>
      <c r="G16" s="4" t="s">
        <v>90</v>
      </c>
    </row>
    <row r="17" spans="2:7" ht="13.5">
      <c r="B17" s="5" t="s">
        <v>4</v>
      </c>
      <c r="C17" s="5" t="s">
        <v>169</v>
      </c>
      <c r="D17" s="5"/>
      <c r="E17" s="11"/>
      <c r="F17" s="10">
        <v>3.94</v>
      </c>
      <c r="G17" s="5" t="s">
        <v>44</v>
      </c>
    </row>
    <row r="18" spans="2:7" ht="18.75">
      <c r="B18" s="93" t="s">
        <v>91</v>
      </c>
      <c r="C18" s="93"/>
      <c r="D18" s="93"/>
      <c r="E18" s="94"/>
      <c r="F18" s="93"/>
      <c r="G18" s="93"/>
    </row>
    <row r="19" spans="2:7" ht="13.5">
      <c r="B19" s="4" t="s">
        <v>60</v>
      </c>
      <c r="C19" s="4"/>
      <c r="D19" s="4"/>
      <c r="E19" s="12"/>
      <c r="F19" s="9">
        <f>$G$5*2</f>
        <v>1500</v>
      </c>
      <c r="G19" s="4" t="s">
        <v>46</v>
      </c>
    </row>
    <row r="20" spans="2:7" ht="13.5">
      <c r="B20" s="5" t="s">
        <v>92</v>
      </c>
      <c r="C20" s="5"/>
      <c r="D20" s="5" t="s">
        <v>187</v>
      </c>
      <c r="E20" s="11">
        <v>0.5</v>
      </c>
      <c r="F20" s="10">
        <f>$G$5*E20</f>
        <v>375</v>
      </c>
      <c r="G20" s="5" t="s">
        <v>93</v>
      </c>
    </row>
    <row r="21" spans="2:7" ht="13.5">
      <c r="B21" s="5"/>
      <c r="C21" s="5"/>
      <c r="D21" s="5" t="s">
        <v>188</v>
      </c>
      <c r="E21" s="11">
        <v>0.25</v>
      </c>
      <c r="F21" s="10">
        <f>$G$5*E21</f>
        <v>187.5</v>
      </c>
      <c r="G21" s="5" t="s">
        <v>93</v>
      </c>
    </row>
    <row r="22" spans="2:7" ht="13.5">
      <c r="B22" s="4" t="s">
        <v>94</v>
      </c>
      <c r="C22" s="4" t="s">
        <v>189</v>
      </c>
      <c r="D22" s="4"/>
      <c r="E22" s="12">
        <v>1.65</v>
      </c>
      <c r="F22" s="9">
        <f>$G$5*E22</f>
        <v>1237.5</v>
      </c>
      <c r="G22" s="4" t="s">
        <v>93</v>
      </c>
    </row>
    <row r="23" spans="2:7" ht="13.5">
      <c r="B23" s="4"/>
      <c r="C23" s="4" t="s">
        <v>192</v>
      </c>
      <c r="D23" s="4"/>
      <c r="E23" s="12"/>
      <c r="F23" s="9" t="s">
        <v>193</v>
      </c>
      <c r="G23" s="4"/>
    </row>
    <row r="24" spans="2:7" ht="13.5">
      <c r="B24" s="4"/>
      <c r="C24" s="4" t="s">
        <v>191</v>
      </c>
      <c r="D24" s="4" t="s">
        <v>187</v>
      </c>
      <c r="E24" s="12">
        <v>0.65</v>
      </c>
      <c r="F24" s="9">
        <f>$G$5*E24</f>
        <v>487.5</v>
      </c>
      <c r="G24" s="4" t="s">
        <v>93</v>
      </c>
    </row>
    <row r="25" spans="2:7" ht="13.5">
      <c r="B25" s="4"/>
      <c r="C25" s="4"/>
      <c r="D25" s="4" t="s">
        <v>188</v>
      </c>
      <c r="E25" s="12">
        <v>0.5</v>
      </c>
      <c r="F25" s="9">
        <f>$G$5*E25</f>
        <v>375</v>
      </c>
      <c r="G25" s="4" t="s">
        <v>93</v>
      </c>
    </row>
    <row r="26" spans="2:7" ht="13.5">
      <c r="B26" s="5" t="s">
        <v>95</v>
      </c>
      <c r="C26" s="5" t="s">
        <v>196</v>
      </c>
      <c r="D26" s="5"/>
      <c r="E26" s="11"/>
      <c r="F26" s="10" t="s">
        <v>193</v>
      </c>
      <c r="G26" s="5"/>
    </row>
    <row r="27" spans="2:7" ht="18.75">
      <c r="B27" s="93" t="s">
        <v>194</v>
      </c>
      <c r="C27" s="93"/>
      <c r="D27" s="93"/>
      <c r="E27" s="94"/>
      <c r="F27" s="95"/>
      <c r="G27" s="93"/>
    </row>
    <row r="28" spans="2:7" ht="13.5">
      <c r="B28" s="4" t="s">
        <v>60</v>
      </c>
      <c r="C28" s="4"/>
      <c r="D28" s="4"/>
      <c r="E28" s="12"/>
      <c r="F28" s="9">
        <f>$G$5*2.5</f>
        <v>1875</v>
      </c>
      <c r="G28" s="4" t="s">
        <v>46</v>
      </c>
    </row>
    <row r="29" spans="2:7" ht="13.5">
      <c r="B29" s="5" t="s">
        <v>24</v>
      </c>
      <c r="C29" s="5" t="s">
        <v>288</v>
      </c>
      <c r="D29" s="5"/>
      <c r="E29" s="11"/>
      <c r="F29" s="10" t="s">
        <v>193</v>
      </c>
      <c r="G29" s="5"/>
    </row>
    <row r="30" spans="2:7" ht="13.5">
      <c r="B30" s="4" t="s">
        <v>168</v>
      </c>
      <c r="C30" s="4" t="s">
        <v>216</v>
      </c>
      <c r="D30" s="4"/>
      <c r="E30" s="12"/>
      <c r="F30" s="9" t="s">
        <v>193</v>
      </c>
      <c r="G30" s="4"/>
    </row>
    <row r="31" spans="2:7" ht="18.75">
      <c r="B31" s="93" t="s">
        <v>96</v>
      </c>
      <c r="C31" s="93"/>
      <c r="D31" s="93"/>
      <c r="E31" s="94"/>
      <c r="F31" s="95"/>
      <c r="G31" s="93"/>
    </row>
    <row r="32" spans="2:7" ht="13.5">
      <c r="B32" s="4" t="s">
        <v>60</v>
      </c>
      <c r="C32" s="4"/>
      <c r="D32" s="4"/>
      <c r="E32" s="12"/>
      <c r="F32" s="9">
        <f>$G$5*2</f>
        <v>1500</v>
      </c>
      <c r="G32" s="4" t="s">
        <v>46</v>
      </c>
    </row>
    <row r="33" spans="2:7" ht="13.5">
      <c r="B33" s="5" t="s">
        <v>195</v>
      </c>
      <c r="C33" s="5" t="s">
        <v>197</v>
      </c>
      <c r="D33" s="5"/>
      <c r="E33" s="11">
        <v>4</v>
      </c>
      <c r="F33" s="10">
        <f>$G$5*$E33</f>
        <v>3000</v>
      </c>
      <c r="G33" s="5" t="s">
        <v>45</v>
      </c>
    </row>
    <row r="34" spans="2:7" ht="13.5">
      <c r="B34" s="4" t="s">
        <v>98</v>
      </c>
      <c r="C34" s="4" t="s">
        <v>198</v>
      </c>
      <c r="D34" s="4"/>
      <c r="E34" s="12">
        <v>4</v>
      </c>
      <c r="F34" s="9">
        <f t="shared" ref="F34:F35" si="1">$G$5*$E34</f>
        <v>3000</v>
      </c>
      <c r="G34" s="4" t="s">
        <v>45</v>
      </c>
    </row>
    <row r="35" spans="2:7" ht="13.5">
      <c r="B35" s="5" t="s">
        <v>99</v>
      </c>
      <c r="C35" s="5" t="s">
        <v>199</v>
      </c>
      <c r="D35" s="5"/>
      <c r="E35" s="11">
        <v>4</v>
      </c>
      <c r="F35" s="10">
        <f t="shared" si="1"/>
        <v>3000</v>
      </c>
      <c r="G35" s="5" t="s">
        <v>45</v>
      </c>
    </row>
    <row r="36" spans="2:7" ht="13.5">
      <c r="B36" s="4" t="s">
        <v>100</v>
      </c>
      <c r="C36" s="4" t="s">
        <v>287</v>
      </c>
      <c r="D36" s="4"/>
      <c r="E36" s="12"/>
      <c r="F36" s="9">
        <f>840*7.5</f>
        <v>6300</v>
      </c>
      <c r="G36" s="4" t="s">
        <v>45</v>
      </c>
    </row>
    <row r="37" spans="2:7" ht="13.5">
      <c r="B37" s="4"/>
      <c r="C37" s="4" t="s">
        <v>286</v>
      </c>
      <c r="D37" s="4" t="s">
        <v>228</v>
      </c>
      <c r="E37" s="12">
        <v>7</v>
      </c>
      <c r="F37" s="9">
        <f>$G$5*$E37</f>
        <v>5250</v>
      </c>
      <c r="G37" s="4" t="s">
        <v>45</v>
      </c>
    </row>
    <row r="38" spans="2:7" ht="13.5">
      <c r="B38" s="4"/>
      <c r="C38" s="4"/>
      <c r="D38" s="4" t="s">
        <v>227</v>
      </c>
      <c r="E38" s="12"/>
      <c r="F38" s="4" t="s">
        <v>193</v>
      </c>
      <c r="G38" s="4"/>
    </row>
    <row r="39" spans="2:7" ht="45" customHeight="1">
      <c r="B39" s="113" t="s">
        <v>337</v>
      </c>
      <c r="C39" s="113"/>
      <c r="D39" s="113"/>
      <c r="E39" s="113"/>
      <c r="F39" s="113"/>
      <c r="G39" s="113"/>
    </row>
    <row r="40" spans="2:7" ht="13.5">
      <c r="B40" s="4" t="s">
        <v>60</v>
      </c>
      <c r="C40" s="4"/>
      <c r="D40" s="4"/>
      <c r="E40" s="12"/>
      <c r="F40" s="9">
        <f>$G$5*2</f>
        <v>1500</v>
      </c>
      <c r="G40" s="4" t="s">
        <v>46</v>
      </c>
    </row>
    <row r="41" spans="2:7" ht="13.5">
      <c r="B41" s="5" t="s">
        <v>207</v>
      </c>
      <c r="C41" s="5" t="s">
        <v>101</v>
      </c>
      <c r="D41" s="5"/>
      <c r="E41" s="11">
        <v>9</v>
      </c>
      <c r="F41" s="10">
        <f>$G$5*E41</f>
        <v>6750</v>
      </c>
      <c r="G41" s="5" t="s">
        <v>93</v>
      </c>
    </row>
    <row r="42" spans="2:7" ht="13.5">
      <c r="B42" s="5"/>
      <c r="C42" s="5" t="s">
        <v>102</v>
      </c>
      <c r="D42" s="5"/>
      <c r="E42" s="11">
        <v>6</v>
      </c>
      <c r="F42" s="10">
        <f>$G$5*E42</f>
        <v>4500</v>
      </c>
      <c r="G42" s="5" t="s">
        <v>93</v>
      </c>
    </row>
    <row r="43" spans="2:7" ht="13.5">
      <c r="B43" s="5"/>
      <c r="C43" s="5" t="s">
        <v>103</v>
      </c>
      <c r="D43" s="5"/>
      <c r="E43" s="11">
        <v>10</v>
      </c>
      <c r="F43" s="10">
        <f t="shared" ref="F43:F63" si="2">$G$5*E43</f>
        <v>7500</v>
      </c>
      <c r="G43" s="5" t="s">
        <v>93</v>
      </c>
    </row>
    <row r="44" spans="2:7" ht="13.5">
      <c r="B44" s="5"/>
      <c r="C44" s="5" t="s">
        <v>104</v>
      </c>
      <c r="D44" s="5"/>
      <c r="E44" s="11">
        <v>16</v>
      </c>
      <c r="F44" s="10">
        <f t="shared" si="2"/>
        <v>12000</v>
      </c>
      <c r="G44" s="5" t="s">
        <v>93</v>
      </c>
    </row>
    <row r="45" spans="2:7" ht="13.5">
      <c r="B45" s="4" t="s">
        <v>105</v>
      </c>
      <c r="C45" s="4" t="s">
        <v>205</v>
      </c>
      <c r="D45" s="4"/>
      <c r="E45" s="12">
        <v>12</v>
      </c>
      <c r="F45" s="9">
        <f t="shared" si="2"/>
        <v>9000</v>
      </c>
      <c r="G45" s="4" t="s">
        <v>93</v>
      </c>
    </row>
    <row r="46" spans="2:7" ht="13.5">
      <c r="B46" s="4"/>
      <c r="C46" s="4" t="s">
        <v>106</v>
      </c>
      <c r="D46" s="4"/>
      <c r="E46" s="12">
        <v>8</v>
      </c>
      <c r="F46" s="9">
        <f t="shared" si="2"/>
        <v>6000</v>
      </c>
      <c r="G46" s="4" t="s">
        <v>93</v>
      </c>
    </row>
    <row r="47" spans="2:7" ht="13.5">
      <c r="B47" s="5" t="s">
        <v>208</v>
      </c>
      <c r="C47" s="5" t="s">
        <v>107</v>
      </c>
      <c r="D47" s="5"/>
      <c r="E47" s="11">
        <v>4</v>
      </c>
      <c r="F47" s="10">
        <f t="shared" si="2"/>
        <v>3000</v>
      </c>
      <c r="G47" s="5" t="s">
        <v>93</v>
      </c>
    </row>
    <row r="48" spans="2:7" ht="13.5">
      <c r="B48" s="4" t="s">
        <v>108</v>
      </c>
      <c r="C48" s="4" t="s">
        <v>103</v>
      </c>
      <c r="D48" s="4"/>
      <c r="E48" s="12">
        <v>16</v>
      </c>
      <c r="F48" s="9">
        <f t="shared" si="2"/>
        <v>12000</v>
      </c>
      <c r="G48" s="4" t="s">
        <v>93</v>
      </c>
    </row>
    <row r="49" spans="2:7" ht="13.5">
      <c r="B49" s="4"/>
      <c r="C49" s="4" t="s">
        <v>106</v>
      </c>
      <c r="D49" s="4"/>
      <c r="E49" s="12">
        <v>8</v>
      </c>
      <c r="F49" s="9">
        <f t="shared" si="2"/>
        <v>6000</v>
      </c>
      <c r="G49" s="4" t="s">
        <v>93</v>
      </c>
    </row>
    <row r="50" spans="2:7" ht="13.5">
      <c r="B50" s="5" t="s">
        <v>200</v>
      </c>
      <c r="C50" s="5"/>
      <c r="D50" s="5" t="s">
        <v>201</v>
      </c>
      <c r="E50" s="11">
        <v>1</v>
      </c>
      <c r="F50" s="10">
        <f t="shared" si="2"/>
        <v>750</v>
      </c>
      <c r="G50" s="5" t="s">
        <v>93</v>
      </c>
    </row>
    <row r="51" spans="2:7" ht="13.5">
      <c r="B51" s="5"/>
      <c r="C51" s="5"/>
      <c r="D51" s="5" t="s">
        <v>188</v>
      </c>
      <c r="E51" s="11">
        <v>0.5</v>
      </c>
      <c r="F51" s="10">
        <f t="shared" si="2"/>
        <v>375</v>
      </c>
      <c r="G51" s="5" t="s">
        <v>93</v>
      </c>
    </row>
    <row r="52" spans="2:7" ht="13.5">
      <c r="B52" s="4" t="s">
        <v>202</v>
      </c>
      <c r="C52" s="4"/>
      <c r="D52" s="4" t="s">
        <v>201</v>
      </c>
      <c r="E52" s="12">
        <v>2</v>
      </c>
      <c r="F52" s="9">
        <f t="shared" si="2"/>
        <v>1500</v>
      </c>
      <c r="G52" s="4" t="s">
        <v>93</v>
      </c>
    </row>
    <row r="53" spans="2:7" ht="13.5">
      <c r="B53" s="4"/>
      <c r="C53" s="4"/>
      <c r="D53" s="4" t="s">
        <v>188</v>
      </c>
      <c r="E53" s="12">
        <v>1</v>
      </c>
      <c r="F53" s="9">
        <f t="shared" si="2"/>
        <v>750</v>
      </c>
      <c r="G53" s="4" t="s">
        <v>93</v>
      </c>
    </row>
    <row r="54" spans="2:7" ht="13.5">
      <c r="B54" s="5" t="s">
        <v>111</v>
      </c>
      <c r="C54" s="5" t="s">
        <v>112</v>
      </c>
      <c r="D54" s="5"/>
      <c r="E54" s="11">
        <v>30</v>
      </c>
      <c r="F54" s="10">
        <f t="shared" si="2"/>
        <v>22500</v>
      </c>
      <c r="G54" s="5" t="s">
        <v>203</v>
      </c>
    </row>
    <row r="55" spans="2:7" ht="13.5">
      <c r="B55" s="5"/>
      <c r="C55" s="5" t="s">
        <v>151</v>
      </c>
      <c r="D55" s="5"/>
      <c r="E55" s="11">
        <v>6</v>
      </c>
      <c r="F55" s="10">
        <f t="shared" si="2"/>
        <v>4500</v>
      </c>
      <c r="G55" s="5" t="s">
        <v>203</v>
      </c>
    </row>
    <row r="56" spans="2:7" ht="13.5">
      <c r="B56" s="5"/>
      <c r="C56" s="5" t="s">
        <v>152</v>
      </c>
      <c r="D56" s="5"/>
      <c r="E56" s="11"/>
      <c r="F56" s="10" t="s">
        <v>193</v>
      </c>
      <c r="G56" s="5"/>
    </row>
    <row r="57" spans="2:7" ht="13.5">
      <c r="B57" s="4" t="s">
        <v>204</v>
      </c>
      <c r="C57" s="4" t="s">
        <v>113</v>
      </c>
      <c r="D57" s="4"/>
      <c r="E57" s="12">
        <v>2</v>
      </c>
      <c r="F57" s="9">
        <f t="shared" si="2"/>
        <v>1500</v>
      </c>
      <c r="G57" s="4" t="s">
        <v>93</v>
      </c>
    </row>
    <row r="58" spans="2:7" ht="13.5" hidden="1">
      <c r="B58" s="4"/>
      <c r="C58" s="4" t="s">
        <v>109</v>
      </c>
      <c r="D58" s="4"/>
      <c r="E58" s="12">
        <v>2</v>
      </c>
      <c r="F58" s="9">
        <f t="shared" si="2"/>
        <v>1500</v>
      </c>
      <c r="G58" s="4" t="s">
        <v>93</v>
      </c>
    </row>
    <row r="59" spans="2:7" ht="13.5">
      <c r="B59" s="4"/>
      <c r="C59" s="4" t="s">
        <v>114</v>
      </c>
      <c r="D59" s="4"/>
      <c r="E59" s="12">
        <v>3</v>
      </c>
      <c r="F59" s="9">
        <f t="shared" si="2"/>
        <v>2250</v>
      </c>
      <c r="G59" s="4" t="s">
        <v>93</v>
      </c>
    </row>
    <row r="60" spans="2:7" ht="13.5">
      <c r="B60" s="5" t="s">
        <v>206</v>
      </c>
      <c r="C60" s="5" t="s">
        <v>115</v>
      </c>
      <c r="D60" s="5"/>
      <c r="E60" s="11">
        <v>12</v>
      </c>
      <c r="F60" s="10">
        <f t="shared" si="2"/>
        <v>9000</v>
      </c>
      <c r="G60" s="5" t="s">
        <v>93</v>
      </c>
    </row>
    <row r="61" spans="2:7" ht="13.5">
      <c r="B61" s="4" t="s">
        <v>116</v>
      </c>
      <c r="C61" s="4" t="s">
        <v>117</v>
      </c>
      <c r="D61" s="4"/>
      <c r="E61" s="12">
        <v>24</v>
      </c>
      <c r="F61" s="9">
        <f t="shared" si="2"/>
        <v>18000</v>
      </c>
      <c r="G61" s="4" t="s">
        <v>93</v>
      </c>
    </row>
    <row r="62" spans="2:7" ht="13.5">
      <c r="B62" s="4"/>
      <c r="C62" s="4" t="s">
        <v>118</v>
      </c>
      <c r="D62" s="4"/>
      <c r="E62" s="12">
        <v>15</v>
      </c>
      <c r="F62" s="9">
        <f t="shared" si="2"/>
        <v>11250</v>
      </c>
      <c r="G62" s="4" t="s">
        <v>93</v>
      </c>
    </row>
    <row r="63" spans="2:7" ht="13.5">
      <c r="B63" s="5" t="s">
        <v>340</v>
      </c>
      <c r="C63" s="5" t="s">
        <v>341</v>
      </c>
      <c r="D63" s="5"/>
      <c r="E63" s="11">
        <v>2.5</v>
      </c>
      <c r="F63" s="10">
        <f t="shared" si="2"/>
        <v>1875</v>
      </c>
      <c r="G63" s="5" t="s">
        <v>93</v>
      </c>
    </row>
    <row r="64" spans="2:7" ht="18.75">
      <c r="B64" s="93" t="s">
        <v>209</v>
      </c>
      <c r="C64" s="93"/>
      <c r="D64" s="93"/>
      <c r="E64" s="93"/>
      <c r="F64" s="93"/>
      <c r="G64" s="93"/>
    </row>
    <row r="65" spans="2:7" ht="13.5">
      <c r="B65" s="4" t="s">
        <v>119</v>
      </c>
      <c r="C65" s="4" t="s">
        <v>120</v>
      </c>
      <c r="D65" s="4"/>
      <c r="E65" s="4"/>
      <c r="F65" s="9" t="s">
        <v>193</v>
      </c>
      <c r="G65" s="4"/>
    </row>
    <row r="66" spans="2:7" ht="13.5">
      <c r="B66" s="4"/>
      <c r="C66" s="4" t="s">
        <v>121</v>
      </c>
      <c r="D66" s="4"/>
      <c r="E66" s="4"/>
      <c r="F66" s="9" t="s">
        <v>193</v>
      </c>
      <c r="G66" s="4"/>
    </row>
    <row r="67" spans="2:7" ht="13.5">
      <c r="B67" s="5" t="s">
        <v>122</v>
      </c>
      <c r="C67" s="5" t="s">
        <v>123</v>
      </c>
      <c r="D67" s="5"/>
      <c r="E67" s="5"/>
      <c r="F67" s="10" t="s">
        <v>193</v>
      </c>
      <c r="G67" s="5"/>
    </row>
    <row r="68" spans="2:7" ht="13.5">
      <c r="B68" s="4" t="s">
        <v>124</v>
      </c>
      <c r="C68" s="4" t="s">
        <v>125</v>
      </c>
      <c r="D68" s="4"/>
      <c r="E68" s="4"/>
      <c r="F68" s="9" t="s">
        <v>193</v>
      </c>
      <c r="G68" s="4"/>
    </row>
    <row r="69" spans="2:7" ht="11.25" customHeight="1"/>
    <row r="70" spans="2:7"/>
    <row r="108" ht="15.75" hidden="1" customHeight="1"/>
    <row r="109" ht="15.75" hidden="1" customHeight="1"/>
    <row r="110" ht="12.75" hidden="1" customHeight="1"/>
    <row r="111" ht="12.75" hidden="1" customHeight="1"/>
  </sheetData>
  <sheetProtection algorithmName="SHA-512" hashValue="sRIsBfLVoS3rv6twT4z5h4IhmG81sDDnL0uqQFC2PGRo7YXUpXCDRa1/RydaTC56YxRvqqjRNNP3e2LEMeOnKA==" saltValue="MuCqcK2BlNBis8n4oWSHcw==" spinCount="100000" sheet="1" objects="1" scenarios="1"/>
  <mergeCells count="2">
    <mergeCell ref="B4:E4"/>
    <mergeCell ref="B39:G39"/>
  </mergeCells>
  <pageMargins left="0.23622047244094491" right="0.23622047244094491" top="0.74803149606299213" bottom="0.74803149606299213" header="0.31496062992125984" footer="0.31496062992125984"/>
  <pageSetup paperSize="9" scale="57" fitToHeight="0" orientation="landscape" r:id="rId1"/>
  <headerFooter>
    <oddFooter>&amp;C&amp;A (Side &amp;P)</oddFooter>
  </headerFooter>
  <colBreaks count="1" manualBreakCount="1">
    <brk id="7" max="1048575" man="1"/>
  </colBreaks>
  <ignoredErrors>
    <ignoredError sqref="F36"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4B5F7-14AC-4014-9E91-9C747C85BF66}">
  <sheetPr codeName="Ark6">
    <tabColor theme="2" tint="-0.499984740745262"/>
    <pageSetUpPr fitToPage="1"/>
  </sheetPr>
  <dimension ref="B1:K120"/>
  <sheetViews>
    <sheetView showGridLines="0" zoomScaleNormal="100" workbookViewId="0">
      <selection activeCell="B9" sqref="B9"/>
    </sheetView>
  </sheetViews>
  <sheetFormatPr defaultColWidth="0" defaultRowHeight="12.75" zeroHeight="1"/>
  <cols>
    <col min="1" max="1" width="5.7109375" customWidth="1"/>
    <col min="2" max="2" width="50" customWidth="1"/>
    <col min="3" max="3" width="73.28515625" customWidth="1"/>
    <col min="4" max="4" width="26.7109375" customWidth="1"/>
    <col min="5" max="5" width="9.140625" customWidth="1"/>
    <col min="6" max="6" width="16.140625" bestFit="1" customWidth="1"/>
    <col min="7" max="9" width="21.42578125" customWidth="1"/>
    <col min="10" max="10" width="5.7109375" customWidth="1"/>
    <col min="11" max="11" width="13.85546875" hidden="1" customWidth="1"/>
    <col min="12" max="12" width="0" hidden="1" customWidth="1"/>
  </cols>
  <sheetData>
    <row r="1" spans="2:9" ht="22.5" customHeight="1"/>
    <row r="2" spans="2:9" ht="12.75" customHeight="1">
      <c r="B2" s="86"/>
      <c r="C2" s="86"/>
      <c r="D2" s="86"/>
      <c r="E2" s="86"/>
      <c r="F2" s="86"/>
      <c r="G2" s="86"/>
      <c r="H2" s="86"/>
      <c r="I2" s="86"/>
    </row>
    <row r="3" spans="2:9" ht="29.25" customHeight="1">
      <c r="B3" s="87" t="s">
        <v>263</v>
      </c>
      <c r="C3" s="87"/>
      <c r="D3" s="88"/>
      <c r="E3" s="89"/>
      <c r="F3" s="87"/>
      <c r="G3" s="87"/>
      <c r="H3" s="88"/>
      <c r="I3" s="90" t="e" vm="1">
        <v>#VALUE!</v>
      </c>
    </row>
    <row r="4" spans="2:9" ht="15" customHeight="1">
      <c r="B4" s="84"/>
      <c r="C4" s="84"/>
      <c r="D4" s="84"/>
      <c r="E4" s="84"/>
      <c r="F4" s="84"/>
      <c r="G4" s="84"/>
      <c r="H4" s="84"/>
      <c r="I4" s="84"/>
    </row>
    <row r="5" spans="2:9" ht="15" customHeight="1">
      <c r="B5" s="98" t="s">
        <v>261</v>
      </c>
      <c r="C5" s="99"/>
      <c r="D5" s="99"/>
      <c r="E5" s="99"/>
      <c r="F5" s="99"/>
      <c r="G5" s="99"/>
      <c r="H5" s="100" t="s">
        <v>236</v>
      </c>
      <c r="I5" s="7"/>
    </row>
    <row r="6" spans="2:9" ht="15" customHeight="1">
      <c r="B6" s="98" t="s">
        <v>262</v>
      </c>
      <c r="C6" s="99"/>
      <c r="D6" s="99"/>
      <c r="E6" s="99"/>
      <c r="F6" s="99"/>
      <c r="G6" s="99"/>
      <c r="H6" s="100" t="s">
        <v>237</v>
      </c>
      <c r="I6" s="6"/>
    </row>
    <row r="7" spans="2:9" ht="15" customHeight="1">
      <c r="B7" s="99" t="s">
        <v>338</v>
      </c>
      <c r="C7" s="99"/>
      <c r="D7" s="99"/>
      <c r="E7" s="99"/>
      <c r="F7" s="99"/>
      <c r="G7" s="99"/>
      <c r="H7" s="99"/>
      <c r="I7" s="99"/>
    </row>
    <row r="8" spans="2:9" ht="22.5" customHeight="1">
      <c r="B8" s="84"/>
      <c r="C8" s="84"/>
      <c r="D8" s="84"/>
      <c r="E8" s="84"/>
      <c r="F8" s="101"/>
      <c r="G8" s="114" t="s">
        <v>86</v>
      </c>
      <c r="H8" s="114"/>
      <c r="I8" s="97">
        <v>750</v>
      </c>
    </row>
    <row r="9" spans="2:9" ht="15.75">
      <c r="B9" s="3" t="s">
        <v>232</v>
      </c>
      <c r="C9" s="3" t="s">
        <v>241</v>
      </c>
      <c r="D9" s="15" t="s">
        <v>242</v>
      </c>
      <c r="E9" s="15" t="s">
        <v>243</v>
      </c>
      <c r="F9" s="15"/>
      <c r="G9" s="15" t="s">
        <v>244</v>
      </c>
      <c r="H9" s="15" t="s">
        <v>134</v>
      </c>
      <c r="I9" s="15" t="s">
        <v>245</v>
      </c>
    </row>
    <row r="10" spans="2:9" ht="18.75">
      <c r="B10" s="93" t="s">
        <v>40</v>
      </c>
      <c r="C10" s="93"/>
      <c r="D10" s="93"/>
      <c r="E10" s="93"/>
      <c r="F10" s="93"/>
      <c r="G10" s="93"/>
      <c r="H10" s="93"/>
      <c r="I10" s="93"/>
    </row>
    <row r="11" spans="2:9" ht="13.5">
      <c r="B11" s="4" t="s">
        <v>0</v>
      </c>
      <c r="C11" s="4" t="s">
        <v>66</v>
      </c>
      <c r="D11" s="38">
        <f>$I$8</f>
        <v>750</v>
      </c>
      <c r="E11" s="106"/>
      <c r="F11" s="4" t="s">
        <v>1</v>
      </c>
      <c r="G11" s="53">
        <f t="shared" ref="G11:G13" si="0">D11*E11</f>
        <v>0</v>
      </c>
      <c r="H11" s="53">
        <f t="shared" ref="H11:H13" si="1">G11*0.25</f>
        <v>0</v>
      </c>
      <c r="I11" s="53">
        <f t="shared" ref="I11:I13" si="2">SUM(G11:H11)</f>
        <v>0</v>
      </c>
    </row>
    <row r="12" spans="2:9" ht="13.5">
      <c r="B12" s="5" t="s">
        <v>2</v>
      </c>
      <c r="C12" s="5" t="s">
        <v>55</v>
      </c>
      <c r="D12" s="39">
        <f t="shared" ref="D12:D13" si="3">$I$8</f>
        <v>750</v>
      </c>
      <c r="E12" s="107"/>
      <c r="F12" s="5" t="s">
        <v>1</v>
      </c>
      <c r="G12" s="55">
        <f t="shared" si="0"/>
        <v>0</v>
      </c>
      <c r="H12" s="55">
        <f t="shared" si="1"/>
        <v>0</v>
      </c>
      <c r="I12" s="55">
        <f t="shared" si="2"/>
        <v>0</v>
      </c>
    </row>
    <row r="13" spans="2:9" ht="13.5">
      <c r="B13" s="4" t="s">
        <v>3</v>
      </c>
      <c r="C13" s="4" t="s">
        <v>56</v>
      </c>
      <c r="D13" s="38">
        <f t="shared" si="3"/>
        <v>750</v>
      </c>
      <c r="E13" s="106"/>
      <c r="F13" s="4" t="s">
        <v>1</v>
      </c>
      <c r="G13" s="53">
        <f t="shared" si="0"/>
        <v>0</v>
      </c>
      <c r="H13" s="53">
        <f t="shared" si="1"/>
        <v>0</v>
      </c>
      <c r="I13" s="53">
        <f t="shared" si="2"/>
        <v>0</v>
      </c>
    </row>
    <row r="14" spans="2:9" ht="13.5">
      <c r="B14" s="5" t="s">
        <v>4</v>
      </c>
      <c r="C14" s="5" t="s">
        <v>67</v>
      </c>
      <c r="D14" s="39">
        <f>'PRISLISTE KONS.'!F11</f>
        <v>3.94</v>
      </c>
      <c r="E14" s="107"/>
      <c r="F14" s="5" t="s">
        <v>5</v>
      </c>
      <c r="G14" s="55">
        <f>D14*E14</f>
        <v>0</v>
      </c>
      <c r="H14" s="55">
        <f>G14*0.25</f>
        <v>0</v>
      </c>
      <c r="I14" s="55">
        <f>SUM(G14:H14)</f>
        <v>0</v>
      </c>
    </row>
    <row r="15" spans="2:9" ht="13.5">
      <c r="B15" s="4" t="s">
        <v>6</v>
      </c>
      <c r="C15" s="4" t="s">
        <v>68</v>
      </c>
      <c r="D15" s="38">
        <v>100</v>
      </c>
      <c r="E15" s="106"/>
      <c r="F15" s="4" t="s">
        <v>7</v>
      </c>
      <c r="G15" s="53">
        <f>D15*E15</f>
        <v>0</v>
      </c>
      <c r="H15" s="53">
        <f>G15*0.25</f>
        <v>0</v>
      </c>
      <c r="I15" s="53">
        <f>SUM(G15:H15)</f>
        <v>0</v>
      </c>
    </row>
    <row r="16" spans="2:9" ht="15.75">
      <c r="B16" s="8" t="s">
        <v>239</v>
      </c>
      <c r="C16" s="8"/>
      <c r="D16" s="102"/>
      <c r="E16" s="8"/>
      <c r="F16" s="8"/>
      <c r="G16" s="58">
        <f>SUM(G11:G15)</f>
        <v>0</v>
      </c>
      <c r="H16" s="58">
        <f>SUM(H11:H15)</f>
        <v>0</v>
      </c>
      <c r="I16" s="58">
        <f>SUM(I11:I15)</f>
        <v>0</v>
      </c>
    </row>
    <row r="17" spans="2:9" ht="18.75">
      <c r="B17" s="93" t="s">
        <v>89</v>
      </c>
      <c r="C17" s="93"/>
      <c r="D17" s="103"/>
      <c r="E17" s="93"/>
      <c r="F17" s="93"/>
      <c r="G17" s="104"/>
      <c r="H17" s="104"/>
      <c r="I17" s="104"/>
    </row>
    <row r="18" spans="2:9" ht="13.5">
      <c r="B18" s="4" t="s">
        <v>60</v>
      </c>
      <c r="C18" s="4"/>
      <c r="D18" s="38"/>
      <c r="E18" s="4"/>
      <c r="F18" s="4"/>
      <c r="G18" s="53">
        <f>IF(OR(E19&gt;0,E20&gt;0),$I$8*2,)</f>
        <v>0</v>
      </c>
      <c r="H18" s="53">
        <f>G18*0.25</f>
        <v>0</v>
      </c>
      <c r="I18" s="53">
        <f>SUM(G18:H18)</f>
        <v>0</v>
      </c>
    </row>
    <row r="19" spans="2:9" ht="13.5">
      <c r="B19" s="5" t="s">
        <v>185</v>
      </c>
      <c r="C19" s="5" t="s">
        <v>55</v>
      </c>
      <c r="D19" s="39">
        <f>'PRISLISTE KONS.'!$F$15</f>
        <v>4500</v>
      </c>
      <c r="E19" s="107"/>
      <c r="F19" s="5" t="s">
        <v>126</v>
      </c>
      <c r="G19" s="55">
        <f t="shared" ref="G19:G21" si="4">D19*E19</f>
        <v>0</v>
      </c>
      <c r="H19" s="55">
        <f t="shared" ref="H19:H20" si="5">G19*0.25</f>
        <v>0</v>
      </c>
      <c r="I19" s="55">
        <f t="shared" ref="I19:I20" si="6">SUM(G19:H19)</f>
        <v>0</v>
      </c>
    </row>
    <row r="20" spans="2:9" ht="13.5">
      <c r="B20" s="4" t="s">
        <v>186</v>
      </c>
      <c r="C20" s="4" t="s">
        <v>55</v>
      </c>
      <c r="D20" s="38">
        <f>'PRISLISTE KONS.'!$F$16</f>
        <v>3000</v>
      </c>
      <c r="E20" s="106"/>
      <c r="F20" s="4" t="s">
        <v>126</v>
      </c>
      <c r="G20" s="53">
        <f t="shared" si="4"/>
        <v>0</v>
      </c>
      <c r="H20" s="53">
        <f t="shared" si="5"/>
        <v>0</v>
      </c>
      <c r="I20" s="53">
        <f t="shared" si="6"/>
        <v>0</v>
      </c>
    </row>
    <row r="21" spans="2:9" ht="13.5">
      <c r="B21" s="5" t="s">
        <v>4</v>
      </c>
      <c r="C21" s="5" t="s">
        <v>169</v>
      </c>
      <c r="D21" s="39">
        <f>'PRISLISTE KONS.'!F11</f>
        <v>3.94</v>
      </c>
      <c r="E21" s="107"/>
      <c r="F21" s="5" t="s">
        <v>5</v>
      </c>
      <c r="G21" s="55">
        <f t="shared" si="4"/>
        <v>0</v>
      </c>
      <c r="H21" s="55">
        <f t="shared" ref="H21" si="7">G21*0.25</f>
        <v>0</v>
      </c>
      <c r="I21" s="55">
        <f t="shared" ref="I21" si="8">SUM(G21:H21)</f>
        <v>0</v>
      </c>
    </row>
    <row r="22" spans="2:9" ht="15.75">
      <c r="B22" s="8" t="s">
        <v>239</v>
      </c>
      <c r="C22" s="8"/>
      <c r="D22" s="102"/>
      <c r="E22" s="8"/>
      <c r="F22" s="8"/>
      <c r="G22" s="58">
        <f>SUM(G18:G21)</f>
        <v>0</v>
      </c>
      <c r="H22" s="58">
        <f>SUM(H18:H21)</f>
        <v>0</v>
      </c>
      <c r="I22" s="58">
        <f>SUM(I18:I21)</f>
        <v>0</v>
      </c>
    </row>
    <row r="23" spans="2:9" ht="18.75">
      <c r="B23" s="93" t="s">
        <v>91</v>
      </c>
      <c r="C23" s="93"/>
      <c r="D23" s="103"/>
      <c r="E23" s="93"/>
      <c r="F23" s="93"/>
      <c r="G23" s="104"/>
      <c r="H23" s="104"/>
      <c r="I23" s="104"/>
    </row>
    <row r="24" spans="2:9" ht="13.5">
      <c r="B24" s="4" t="s">
        <v>60</v>
      </c>
      <c r="C24" s="4"/>
      <c r="D24" s="38"/>
      <c r="E24" s="4"/>
      <c r="F24" s="4"/>
      <c r="G24" s="53">
        <f>IF(OR(E25&gt;0,E26&gt;0,E27&gt;0,E28&gt;0,E29&gt;0),$I$8*2,)</f>
        <v>0</v>
      </c>
      <c r="H24" s="53">
        <f>G24*0.25</f>
        <v>0</v>
      </c>
      <c r="I24" s="53">
        <f>SUM(G24:H24)</f>
        <v>0</v>
      </c>
    </row>
    <row r="25" spans="2:9" ht="13.5">
      <c r="B25" s="5" t="s">
        <v>92</v>
      </c>
      <c r="C25" s="5"/>
      <c r="D25" s="54" t="str">
        <f>'PRISLISTE KONS.'!F20&amp;" - "&amp;'PRISLISTE KONS.'!F21&amp;" kr."</f>
        <v>375 - 187,5 kr.</v>
      </c>
      <c r="E25" s="107"/>
      <c r="F25" s="5" t="s">
        <v>127</v>
      </c>
      <c r="G25" s="55">
        <f>IF(E25=1,($I$8*0.5),IF(E25&gt;1,($I$8*0.5)+(($I$8*0.25)*(E25-1)),))</f>
        <v>0</v>
      </c>
      <c r="H25" s="55">
        <f t="shared" ref="H25:H29" si="9">G25*0.25</f>
        <v>0</v>
      </c>
      <c r="I25" s="55">
        <f t="shared" ref="I25:I29" si="10">SUM(G25:H25)</f>
        <v>0</v>
      </c>
    </row>
    <row r="26" spans="2:9" ht="13.5">
      <c r="B26" s="4" t="s">
        <v>94</v>
      </c>
      <c r="C26" s="4" t="s">
        <v>189</v>
      </c>
      <c r="D26" s="52">
        <f>'PRISLISTE KONS.'!F22</f>
        <v>1237.5</v>
      </c>
      <c r="E26" s="106"/>
      <c r="F26" s="4" t="s">
        <v>127</v>
      </c>
      <c r="G26" s="53">
        <f t="shared" ref="G26:G29" si="11">D26*E26</f>
        <v>0</v>
      </c>
      <c r="H26" s="53">
        <f>G26*0.25</f>
        <v>0</v>
      </c>
      <c r="I26" s="53">
        <f t="shared" si="10"/>
        <v>0</v>
      </c>
    </row>
    <row r="27" spans="2:9" ht="13.5">
      <c r="B27" s="4"/>
      <c r="C27" s="4" t="s">
        <v>190</v>
      </c>
      <c r="D27" s="52">
        <f>$I$8+100</f>
        <v>850</v>
      </c>
      <c r="E27" s="106"/>
      <c r="F27" s="4" t="s">
        <v>1</v>
      </c>
      <c r="G27" s="53">
        <f t="shared" si="11"/>
        <v>0</v>
      </c>
      <c r="H27" s="53">
        <f t="shared" si="9"/>
        <v>0</v>
      </c>
      <c r="I27" s="53">
        <f t="shared" si="10"/>
        <v>0</v>
      </c>
    </row>
    <row r="28" spans="2:9" ht="13.5">
      <c r="B28" s="4"/>
      <c r="C28" s="4" t="s">
        <v>191</v>
      </c>
      <c r="D28" s="52" t="str">
        <f>'PRISLISTE KONS.'!F24&amp;" - "&amp;'PRISLISTE KONS.'!F25&amp;" kr."</f>
        <v>487,5 - 375 kr.</v>
      </c>
      <c r="E28" s="106"/>
      <c r="F28" s="4" t="s">
        <v>127</v>
      </c>
      <c r="G28" s="53">
        <f>IF(E28=1,($I$8*0.65),IF(E28&gt;1,($I$8*0.65)+(($I$8*0.5)*(E28-1)),))</f>
        <v>0</v>
      </c>
      <c r="H28" s="53">
        <f t="shared" si="9"/>
        <v>0</v>
      </c>
      <c r="I28" s="53">
        <f t="shared" si="10"/>
        <v>0</v>
      </c>
    </row>
    <row r="29" spans="2:9" ht="13.5">
      <c r="B29" s="5" t="s">
        <v>95</v>
      </c>
      <c r="C29" s="5" t="s">
        <v>193</v>
      </c>
      <c r="D29" s="39">
        <f>$I$8</f>
        <v>750</v>
      </c>
      <c r="E29" s="107"/>
      <c r="F29" s="5" t="s">
        <v>1</v>
      </c>
      <c r="G29" s="55">
        <f t="shared" si="11"/>
        <v>0</v>
      </c>
      <c r="H29" s="55">
        <f t="shared" si="9"/>
        <v>0</v>
      </c>
      <c r="I29" s="55">
        <f t="shared" si="10"/>
        <v>0</v>
      </c>
    </row>
    <row r="30" spans="2:9" ht="15.75">
      <c r="B30" s="8" t="s">
        <v>239</v>
      </c>
      <c r="C30" s="8"/>
      <c r="D30" s="102"/>
      <c r="E30" s="8"/>
      <c r="F30" s="8"/>
      <c r="G30" s="58">
        <f>SUM(G24:G29)</f>
        <v>0</v>
      </c>
      <c r="H30" s="58">
        <f>G30*0.25</f>
        <v>0</v>
      </c>
      <c r="I30" s="58">
        <f>SUM(G30:H30)</f>
        <v>0</v>
      </c>
    </row>
    <row r="31" spans="2:9" ht="18.75">
      <c r="B31" s="93" t="s">
        <v>194</v>
      </c>
      <c r="C31" s="93"/>
      <c r="D31" s="103"/>
      <c r="E31" s="93"/>
      <c r="F31" s="93"/>
      <c r="G31" s="104"/>
      <c r="H31" s="104"/>
      <c r="I31" s="104"/>
    </row>
    <row r="32" spans="2:9" ht="13.5">
      <c r="B32" s="4" t="s">
        <v>60</v>
      </c>
      <c r="C32" s="4"/>
      <c r="D32" s="38"/>
      <c r="E32" s="4"/>
      <c r="F32" s="4"/>
      <c r="G32" s="53">
        <f>IF(OR(D33&gt;0,D34&gt;0),$I$8*2.5,)</f>
        <v>0</v>
      </c>
      <c r="H32" s="53">
        <f>G32*0.25</f>
        <v>0</v>
      </c>
      <c r="I32" s="53">
        <f>SUM(G32:H32)</f>
        <v>0</v>
      </c>
    </row>
    <row r="33" spans="2:9" ht="13.5">
      <c r="B33" s="5" t="s">
        <v>24</v>
      </c>
      <c r="C33" s="5" t="s">
        <v>182</v>
      </c>
      <c r="D33" s="108"/>
      <c r="E33" s="5" t="s">
        <v>271</v>
      </c>
      <c r="F33" s="5"/>
      <c r="G33" s="55">
        <f>D33*1</f>
        <v>0</v>
      </c>
      <c r="H33" s="55">
        <f>G33*0.25</f>
        <v>0</v>
      </c>
      <c r="I33" s="55">
        <f>SUM(G33:H33)</f>
        <v>0</v>
      </c>
    </row>
    <row r="34" spans="2:9" ht="13.5">
      <c r="B34" s="4" t="s">
        <v>168</v>
      </c>
      <c r="C34" s="4" t="s">
        <v>182</v>
      </c>
      <c r="D34" s="108"/>
      <c r="E34" s="4" t="s">
        <v>271</v>
      </c>
      <c r="F34" s="4"/>
      <c r="G34" s="53">
        <f>D34*1</f>
        <v>0</v>
      </c>
      <c r="H34" s="53">
        <f>G34*0.25</f>
        <v>0</v>
      </c>
      <c r="I34" s="53">
        <f>SUM(G34:H34)</f>
        <v>0</v>
      </c>
    </row>
    <row r="35" spans="2:9" ht="15.75">
      <c r="B35" s="8" t="s">
        <v>239</v>
      </c>
      <c r="C35" s="8"/>
      <c r="D35" s="102"/>
      <c r="E35" s="8"/>
      <c r="F35" s="8"/>
      <c r="G35" s="58">
        <f>SUM(G32:G34)</f>
        <v>0</v>
      </c>
      <c r="H35" s="58">
        <f>SUM(H32:H34)</f>
        <v>0</v>
      </c>
      <c r="I35" s="58">
        <f>SUM(I32:I34)</f>
        <v>0</v>
      </c>
    </row>
    <row r="36" spans="2:9" ht="18.75">
      <c r="B36" s="93" t="s">
        <v>96</v>
      </c>
      <c r="C36" s="93"/>
      <c r="D36" s="103"/>
      <c r="E36" s="93"/>
      <c r="F36" s="93"/>
      <c r="G36" s="105"/>
      <c r="H36" s="104"/>
      <c r="I36" s="104"/>
    </row>
    <row r="37" spans="2:9" ht="13.5">
      <c r="B37" s="4" t="s">
        <v>60</v>
      </c>
      <c r="C37" s="4"/>
      <c r="D37" s="38"/>
      <c r="E37" s="4"/>
      <c r="F37" s="4"/>
      <c r="G37" s="53">
        <f>IF(OR(E38&gt;0,E39&gt;0,E40&gt;0),$I$8*2,)</f>
        <v>0</v>
      </c>
      <c r="H37" s="53">
        <f>G37*0.25</f>
        <v>0</v>
      </c>
      <c r="I37" s="53">
        <f t="shared" ref="I37" si="12">SUM(G37:H37)</f>
        <v>0</v>
      </c>
    </row>
    <row r="38" spans="2:9" ht="13.5">
      <c r="B38" s="5" t="s">
        <v>97</v>
      </c>
      <c r="C38" s="5" t="s">
        <v>197</v>
      </c>
      <c r="D38" s="39">
        <f>'PRISLISTE KONS.'!F33</f>
        <v>3000</v>
      </c>
      <c r="E38" s="107"/>
      <c r="F38" s="5" t="s">
        <v>9</v>
      </c>
      <c r="G38" s="55">
        <f t="shared" ref="G38:G40" si="13">D38*E38</f>
        <v>0</v>
      </c>
      <c r="H38" s="55">
        <f>G38*0.25</f>
        <v>0</v>
      </c>
      <c r="I38" s="55">
        <f t="shared" ref="I38:I41" si="14">SUM(G38:H38)</f>
        <v>0</v>
      </c>
    </row>
    <row r="39" spans="2:9" ht="13.5">
      <c r="B39" s="4" t="s">
        <v>98</v>
      </c>
      <c r="C39" s="4" t="s">
        <v>198</v>
      </c>
      <c r="D39" s="38">
        <f>'PRISLISTE KONS.'!F34</f>
        <v>3000</v>
      </c>
      <c r="E39" s="106"/>
      <c r="F39" s="4" t="s">
        <v>9</v>
      </c>
      <c r="G39" s="53">
        <f t="shared" si="13"/>
        <v>0</v>
      </c>
      <c r="H39" s="53">
        <f>G39*0.25</f>
        <v>0</v>
      </c>
      <c r="I39" s="53">
        <f t="shared" si="14"/>
        <v>0</v>
      </c>
    </row>
    <row r="40" spans="2:9" ht="13.5">
      <c r="B40" s="5" t="s">
        <v>99</v>
      </c>
      <c r="C40" s="5" t="s">
        <v>199</v>
      </c>
      <c r="D40" s="39">
        <f>'PRISLISTE KONS.'!F35</f>
        <v>3000</v>
      </c>
      <c r="E40" s="107"/>
      <c r="F40" s="5" t="s">
        <v>9</v>
      </c>
      <c r="G40" s="55">
        <f t="shared" si="13"/>
        <v>0</v>
      </c>
      <c r="H40" s="55">
        <f t="shared" ref="H40:H42" si="15">G40*0.25</f>
        <v>0</v>
      </c>
      <c r="I40" s="55">
        <f t="shared" si="14"/>
        <v>0</v>
      </c>
    </row>
    <row r="41" spans="2:9" ht="13.5">
      <c r="B41" s="4" t="s">
        <v>100</v>
      </c>
      <c r="C41" s="4" t="s">
        <v>230</v>
      </c>
      <c r="D41" s="38">
        <f>'PRISLISTE KONS.'!F36</f>
        <v>6300</v>
      </c>
      <c r="E41" s="4"/>
      <c r="F41" s="4"/>
      <c r="G41" s="53">
        <f>D41*E42</f>
        <v>0</v>
      </c>
      <c r="H41" s="53">
        <f t="shared" si="15"/>
        <v>0</v>
      </c>
      <c r="I41" s="53">
        <f t="shared" si="14"/>
        <v>0</v>
      </c>
    </row>
    <row r="42" spans="2:9" ht="13.5">
      <c r="B42" s="4"/>
      <c r="C42" s="4" t="s">
        <v>229</v>
      </c>
      <c r="D42" s="38">
        <f>'PRISLISTE KONS.'!F37</f>
        <v>5250</v>
      </c>
      <c r="E42" s="106"/>
      <c r="F42" s="4" t="s">
        <v>9</v>
      </c>
      <c r="G42" s="53">
        <f>D42*E42</f>
        <v>0</v>
      </c>
      <c r="H42" s="53">
        <f t="shared" si="15"/>
        <v>0</v>
      </c>
      <c r="I42" s="53">
        <f>SUM(G42:H42)</f>
        <v>0</v>
      </c>
    </row>
    <row r="43" spans="2:9" ht="15.75">
      <c r="B43" s="8" t="s">
        <v>239</v>
      </c>
      <c r="C43" s="8"/>
      <c r="D43" s="102"/>
      <c r="E43" s="8"/>
      <c r="F43" s="8"/>
      <c r="G43" s="58">
        <f>SUM(G37:G42)</f>
        <v>0</v>
      </c>
      <c r="H43" s="58">
        <f>SUM(H37:H42)</f>
        <v>0</v>
      </c>
      <c r="I43" s="58">
        <f>SUM(I37:I42)</f>
        <v>0</v>
      </c>
    </row>
    <row r="44" spans="2:9" ht="18.75">
      <c r="B44" s="93" t="s">
        <v>210</v>
      </c>
      <c r="C44" s="93"/>
      <c r="D44" s="103"/>
      <c r="E44" s="93"/>
      <c r="F44" s="93"/>
      <c r="G44" s="104"/>
      <c r="H44" s="104"/>
      <c r="I44" s="104"/>
    </row>
    <row r="45" spans="2:9" ht="13.5">
      <c r="B45" s="4" t="s">
        <v>60</v>
      </c>
      <c r="C45" s="4"/>
      <c r="D45" s="38"/>
      <c r="E45" s="4"/>
      <c r="F45" s="4"/>
      <c r="G45" s="53">
        <f>IF(OR(E46&gt;0,E47&gt;0,E48&gt;0,E49&gt;0,E50&gt;0,E51&gt;0,E52&gt;0,E53&gt;0,E54&gt;0,E55&gt;0,E56&gt;0,E57&gt;0,E58&gt;0,E59&gt;0,E60&gt;0,E61&gt;0,E62&gt;0,E63&gt;0,E64&gt;0,E65&gt;0,E48&gt;0),$I$8*2,)</f>
        <v>0</v>
      </c>
      <c r="H45" s="53">
        <f>G45*0.25</f>
        <v>0</v>
      </c>
      <c r="I45" s="53">
        <f t="shared" ref="I45" si="16">SUM(G45:H45)</f>
        <v>0</v>
      </c>
    </row>
    <row r="46" spans="2:9" ht="13.5">
      <c r="B46" s="5" t="s">
        <v>207</v>
      </c>
      <c r="C46" s="5" t="s">
        <v>101</v>
      </c>
      <c r="D46" s="39">
        <f>'PRISLISTE KONS.'!F41</f>
        <v>6750</v>
      </c>
      <c r="E46" s="107"/>
      <c r="F46" s="5" t="s">
        <v>127</v>
      </c>
      <c r="G46" s="55">
        <f>IF(E46&gt;1,D46+(($I$8*('PRISLISTE KONS.'!E41-0.5))*(E46-1)),D46*E46)</f>
        <v>0</v>
      </c>
      <c r="H46" s="55">
        <f t="shared" ref="H46:H65" si="17">G46*0.25</f>
        <v>0</v>
      </c>
      <c r="I46" s="55">
        <f t="shared" ref="I46:I65" si="18">SUM(G46:H46)</f>
        <v>0</v>
      </c>
    </row>
    <row r="47" spans="2:9" ht="13.5">
      <c r="B47" s="5"/>
      <c r="C47" s="5" t="s">
        <v>102</v>
      </c>
      <c r="D47" s="39">
        <f>'PRISLISTE KONS.'!F42</f>
        <v>4500</v>
      </c>
      <c r="E47" s="107"/>
      <c r="F47" s="5" t="s">
        <v>127</v>
      </c>
      <c r="G47" s="55">
        <f>IF(E47&gt;1,D47+(($I$8*('PRISLISTE KONS.'!E42-0.5))*(E47-1)),D47*E47)</f>
        <v>0</v>
      </c>
      <c r="H47" s="55">
        <f t="shared" si="17"/>
        <v>0</v>
      </c>
      <c r="I47" s="55">
        <f t="shared" si="18"/>
        <v>0</v>
      </c>
    </row>
    <row r="48" spans="2:9" ht="13.5">
      <c r="B48" s="5"/>
      <c r="C48" s="5" t="s">
        <v>103</v>
      </c>
      <c r="D48" s="39">
        <f>'PRISLISTE KONS.'!F43</f>
        <v>7500</v>
      </c>
      <c r="E48" s="107"/>
      <c r="F48" s="5" t="s">
        <v>127</v>
      </c>
      <c r="G48" s="55">
        <f>IF(E48&gt;1,D48+(($I$8*('PRISLISTE KONS.'!E43-0.5))*(E48-1)),D48*E48)</f>
        <v>0</v>
      </c>
      <c r="H48" s="55">
        <f t="shared" si="17"/>
        <v>0</v>
      </c>
      <c r="I48" s="55">
        <f t="shared" si="18"/>
        <v>0</v>
      </c>
    </row>
    <row r="49" spans="2:9" ht="13.5">
      <c r="B49" s="5"/>
      <c r="C49" s="5" t="s">
        <v>104</v>
      </c>
      <c r="D49" s="39">
        <f>'PRISLISTE KONS.'!F44</f>
        <v>12000</v>
      </c>
      <c r="E49" s="107"/>
      <c r="F49" s="5" t="s">
        <v>127</v>
      </c>
      <c r="G49" s="55">
        <f>IF(E49&gt;1,D49+(($I$8*('PRISLISTE KONS.'!E44-0.5))*(E49-1)),D49*E49)</f>
        <v>0</v>
      </c>
      <c r="H49" s="55">
        <f t="shared" si="17"/>
        <v>0</v>
      </c>
      <c r="I49" s="55">
        <f t="shared" si="18"/>
        <v>0</v>
      </c>
    </row>
    <row r="50" spans="2:9" ht="13.5">
      <c r="B50" s="4" t="s">
        <v>105</v>
      </c>
      <c r="C50" s="4" t="s">
        <v>211</v>
      </c>
      <c r="D50" s="38">
        <f>$I$8*'PRISLISTE KONS.'!E45</f>
        <v>9000</v>
      </c>
      <c r="E50" s="106"/>
      <c r="F50" s="4" t="s">
        <v>127</v>
      </c>
      <c r="G50" s="53">
        <f>IF(E50&gt;1,D50+(D50*(E50-1)*0.9),D50*E50)</f>
        <v>0</v>
      </c>
      <c r="H50" s="53">
        <f t="shared" si="17"/>
        <v>0</v>
      </c>
      <c r="I50" s="53">
        <f t="shared" si="18"/>
        <v>0</v>
      </c>
    </row>
    <row r="51" spans="2:9" ht="13.5">
      <c r="B51" s="4"/>
      <c r="C51" s="4" t="s">
        <v>106</v>
      </c>
      <c r="D51" s="38">
        <f>$I$8*'PRISLISTE KONS.'!E46</f>
        <v>6000</v>
      </c>
      <c r="E51" s="106"/>
      <c r="F51" s="4" t="s">
        <v>127</v>
      </c>
      <c r="G51" s="53">
        <f>D51*E51</f>
        <v>0</v>
      </c>
      <c r="H51" s="53">
        <f t="shared" si="17"/>
        <v>0</v>
      </c>
      <c r="I51" s="53">
        <f t="shared" si="18"/>
        <v>0</v>
      </c>
    </row>
    <row r="52" spans="2:9" ht="13.5">
      <c r="B52" s="5" t="s">
        <v>208</v>
      </c>
      <c r="C52" s="5" t="s">
        <v>107</v>
      </c>
      <c r="D52" s="39">
        <f>$I$8*'PRISLISTE KONS.'!E47</f>
        <v>3000</v>
      </c>
      <c r="E52" s="107"/>
      <c r="F52" s="5" t="s">
        <v>127</v>
      </c>
      <c r="G52" s="55">
        <f>IF(E52&gt;1,D52+(D52*(E52-1)*0.9),D52*E52)</f>
        <v>0</v>
      </c>
      <c r="H52" s="55">
        <f t="shared" si="17"/>
        <v>0</v>
      </c>
      <c r="I52" s="55">
        <f t="shared" si="18"/>
        <v>0</v>
      </c>
    </row>
    <row r="53" spans="2:9" ht="13.5">
      <c r="B53" s="4" t="s">
        <v>108</v>
      </c>
      <c r="C53" s="4" t="s">
        <v>103</v>
      </c>
      <c r="D53" s="38">
        <f>$I$8*'PRISLISTE KONS.'!E48</f>
        <v>12000</v>
      </c>
      <c r="E53" s="106"/>
      <c r="F53" s="4" t="s">
        <v>127</v>
      </c>
      <c r="G53" s="53">
        <f>IF(E53&gt;1,D53+(D53*(E53-1)*0.9),D53*E53)</f>
        <v>0</v>
      </c>
      <c r="H53" s="53">
        <f t="shared" si="17"/>
        <v>0</v>
      </c>
      <c r="I53" s="53">
        <f t="shared" si="18"/>
        <v>0</v>
      </c>
    </row>
    <row r="54" spans="2:9" ht="13.5">
      <c r="B54" s="4"/>
      <c r="C54" s="4" t="s">
        <v>106</v>
      </c>
      <c r="D54" s="38">
        <f>$I$8*'PRISLISTE KONS.'!E49</f>
        <v>6000</v>
      </c>
      <c r="E54" s="106"/>
      <c r="F54" s="4" t="s">
        <v>127</v>
      </c>
      <c r="G54" s="53">
        <f>D54*E54</f>
        <v>0</v>
      </c>
      <c r="H54" s="53">
        <f t="shared" si="17"/>
        <v>0</v>
      </c>
      <c r="I54" s="53">
        <f t="shared" si="18"/>
        <v>0</v>
      </c>
    </row>
    <row r="55" spans="2:9" ht="13.5">
      <c r="B55" s="5" t="s">
        <v>150</v>
      </c>
      <c r="C55" s="5" t="s">
        <v>109</v>
      </c>
      <c r="D55" s="54" t="str">
        <f>'PRISLISTE KONS.'!F50&amp;" - "&amp;'PRISLISTE KONS.'!F51&amp;" kr."</f>
        <v>750 - 375 kr.</v>
      </c>
      <c r="E55" s="107"/>
      <c r="F55" s="5" t="s">
        <v>127</v>
      </c>
      <c r="G55" s="55">
        <f>IF(E55=1,$I$8,IF(E55=2,($I$8*2),IF(E55=3,($I$8*3),IF(E55&gt;3,($I$8*3)+(E55-3)*($I$8*0.5),))))</f>
        <v>0</v>
      </c>
      <c r="H55" s="55">
        <f>G55*0.25</f>
        <v>0</v>
      </c>
      <c r="I55" s="55">
        <f t="shared" si="18"/>
        <v>0</v>
      </c>
    </row>
    <row r="56" spans="2:9" ht="13.5">
      <c r="B56" s="4" t="s">
        <v>110</v>
      </c>
      <c r="C56" s="4" t="s">
        <v>109</v>
      </c>
      <c r="D56" s="52" t="str">
        <f>'PRISLISTE KONS.'!F52&amp;" - "&amp;'PRISLISTE KONS.'!F53&amp;" kr."</f>
        <v>1500 - 750 kr.</v>
      </c>
      <c r="E56" s="106"/>
      <c r="F56" s="4" t="s">
        <v>127</v>
      </c>
      <c r="G56" s="53">
        <f>IF(E56=1,$I$8*2,IF(E56=2,($I$8*4),IF(E56=3,($I$8*6),IF(E56&gt;3,($I$8*6)+(E56-3)*($I$8),))))</f>
        <v>0</v>
      </c>
      <c r="H56" s="53">
        <f t="shared" si="17"/>
        <v>0</v>
      </c>
      <c r="I56" s="53">
        <f t="shared" si="18"/>
        <v>0</v>
      </c>
    </row>
    <row r="57" spans="2:9" ht="13.5">
      <c r="B57" s="5" t="s">
        <v>111</v>
      </c>
      <c r="C57" s="5" t="s">
        <v>112</v>
      </c>
      <c r="D57" s="39">
        <f>$I$8*'PRISLISTE KONS.'!E54</f>
        <v>22500</v>
      </c>
      <c r="E57" s="107"/>
      <c r="F57" s="5" t="s">
        <v>127</v>
      </c>
      <c r="G57" s="55">
        <f t="shared" ref="G57:G65" si="19">D57*E57</f>
        <v>0</v>
      </c>
      <c r="H57" s="55">
        <f t="shared" si="17"/>
        <v>0</v>
      </c>
      <c r="I57" s="55">
        <f t="shared" si="18"/>
        <v>0</v>
      </c>
    </row>
    <row r="58" spans="2:9" ht="13.5">
      <c r="B58" s="5"/>
      <c r="C58" s="5" t="s">
        <v>151</v>
      </c>
      <c r="D58" s="39">
        <f>$I$8*'PRISLISTE KONS.'!E55</f>
        <v>4500</v>
      </c>
      <c r="E58" s="107"/>
      <c r="F58" s="5" t="s">
        <v>127</v>
      </c>
      <c r="G58" s="55">
        <f t="shared" si="19"/>
        <v>0</v>
      </c>
      <c r="H58" s="55">
        <f t="shared" si="17"/>
        <v>0</v>
      </c>
      <c r="I58" s="55">
        <f t="shared" si="18"/>
        <v>0</v>
      </c>
    </row>
    <row r="59" spans="2:9" ht="13.5">
      <c r="B59" s="5"/>
      <c r="C59" s="5" t="s">
        <v>212</v>
      </c>
      <c r="D59" s="39">
        <f>$I$8</f>
        <v>750</v>
      </c>
      <c r="E59" s="107"/>
      <c r="F59" s="5" t="s">
        <v>1</v>
      </c>
      <c r="G59" s="55">
        <f t="shared" ref="G59" si="20">D59*E59</f>
        <v>0</v>
      </c>
      <c r="H59" s="55">
        <f t="shared" ref="H59" si="21">G59*0.25</f>
        <v>0</v>
      </c>
      <c r="I59" s="55">
        <f t="shared" ref="I59" si="22">SUM(G59:H59)</f>
        <v>0</v>
      </c>
    </row>
    <row r="60" spans="2:9" ht="13.5">
      <c r="B60" s="4" t="s">
        <v>204</v>
      </c>
      <c r="C60" s="4" t="s">
        <v>128</v>
      </c>
      <c r="D60" s="38">
        <f>$I$8*'PRISLISTE KONS.'!E57</f>
        <v>1500</v>
      </c>
      <c r="E60" s="106"/>
      <c r="F60" s="4" t="s">
        <v>127</v>
      </c>
      <c r="G60" s="53">
        <f>IF(E60&gt;1,D60+(D60*(E60-1)*0.5),D60*E60)</f>
        <v>0</v>
      </c>
      <c r="H60" s="53">
        <f t="shared" si="17"/>
        <v>0</v>
      </c>
      <c r="I60" s="53">
        <f t="shared" si="18"/>
        <v>0</v>
      </c>
    </row>
    <row r="61" spans="2:9" ht="13.5">
      <c r="B61" s="4"/>
      <c r="C61" s="4" t="s">
        <v>109</v>
      </c>
      <c r="D61" s="38">
        <f>$I$8*'PRISLISTE KONS.'!E58</f>
        <v>1500</v>
      </c>
      <c r="E61" s="106"/>
      <c r="F61" s="4" t="s">
        <v>127</v>
      </c>
      <c r="G61" s="53">
        <f t="shared" ref="G61:G62" si="23">IF(E61&gt;1,D61+(D61*(E61-1)*0.5),D61*E61)</f>
        <v>0</v>
      </c>
      <c r="H61" s="53">
        <f t="shared" si="17"/>
        <v>0</v>
      </c>
      <c r="I61" s="53">
        <f t="shared" si="18"/>
        <v>0</v>
      </c>
    </row>
    <row r="62" spans="2:9" ht="13.5">
      <c r="B62" s="4"/>
      <c r="C62" s="4" t="s">
        <v>114</v>
      </c>
      <c r="D62" s="38">
        <f>$I$8*'PRISLISTE KONS.'!E59</f>
        <v>2250</v>
      </c>
      <c r="E62" s="106"/>
      <c r="F62" s="4" t="s">
        <v>127</v>
      </c>
      <c r="G62" s="53">
        <f t="shared" si="23"/>
        <v>0</v>
      </c>
      <c r="H62" s="53">
        <f t="shared" si="17"/>
        <v>0</v>
      </c>
      <c r="I62" s="53">
        <f t="shared" si="18"/>
        <v>0</v>
      </c>
    </row>
    <row r="63" spans="2:9" ht="13.5">
      <c r="B63" s="5" t="s">
        <v>206</v>
      </c>
      <c r="C63" s="5" t="s">
        <v>129</v>
      </c>
      <c r="D63" s="39">
        <f>$I$8*'PRISLISTE KONS.'!E60</f>
        <v>9000</v>
      </c>
      <c r="E63" s="107"/>
      <c r="F63" s="5" t="s">
        <v>127</v>
      </c>
      <c r="G63" s="55">
        <f>IF(E63&gt;1,D63+(D63*(E63-1)*0.75),D63*E63)</f>
        <v>0</v>
      </c>
      <c r="H63" s="55">
        <f t="shared" si="17"/>
        <v>0</v>
      </c>
      <c r="I63" s="55">
        <f t="shared" si="18"/>
        <v>0</v>
      </c>
    </row>
    <row r="64" spans="2:9" ht="13.5">
      <c r="B64" s="4" t="s">
        <v>116</v>
      </c>
      <c r="C64" s="4" t="s">
        <v>130</v>
      </c>
      <c r="D64" s="38">
        <f>$I$8*'PRISLISTE KONS.'!E61</f>
        <v>18000</v>
      </c>
      <c r="E64" s="106"/>
      <c r="F64" s="4" t="s">
        <v>127</v>
      </c>
      <c r="G64" s="53">
        <f t="shared" si="19"/>
        <v>0</v>
      </c>
      <c r="H64" s="53">
        <f t="shared" si="17"/>
        <v>0</v>
      </c>
      <c r="I64" s="53">
        <f t="shared" si="18"/>
        <v>0</v>
      </c>
    </row>
    <row r="65" spans="2:9" ht="13.5">
      <c r="B65" s="4"/>
      <c r="C65" s="4" t="s">
        <v>131</v>
      </c>
      <c r="D65" s="38">
        <f>$I$8*'PRISLISTE KONS.'!E62</f>
        <v>11250</v>
      </c>
      <c r="E65" s="106"/>
      <c r="F65" s="4" t="s">
        <v>127</v>
      </c>
      <c r="G65" s="53">
        <f t="shared" si="19"/>
        <v>0</v>
      </c>
      <c r="H65" s="53">
        <f t="shared" si="17"/>
        <v>0</v>
      </c>
      <c r="I65" s="53">
        <f t="shared" si="18"/>
        <v>0</v>
      </c>
    </row>
    <row r="66" spans="2:9" ht="13.5">
      <c r="B66" s="4" t="s">
        <v>340</v>
      </c>
      <c r="C66" s="4" t="s">
        <v>342</v>
      </c>
      <c r="D66" s="38">
        <f>$I$8*'PRISLISTE KONS.'!E63</f>
        <v>1875</v>
      </c>
      <c r="E66" s="106"/>
      <c r="F66" s="4" t="s">
        <v>126</v>
      </c>
      <c r="G66" s="53">
        <f t="shared" ref="G66" si="24">D66*E66</f>
        <v>0</v>
      </c>
      <c r="H66" s="53">
        <f t="shared" ref="H66" si="25">G66*0.25</f>
        <v>0</v>
      </c>
      <c r="I66" s="53">
        <f t="shared" ref="I66" si="26">SUM(G66:H66)</f>
        <v>0</v>
      </c>
    </row>
    <row r="67" spans="2:9" ht="15.75">
      <c r="B67" s="8" t="s">
        <v>239</v>
      </c>
      <c r="C67" s="8"/>
      <c r="D67" s="102"/>
      <c r="E67" s="8"/>
      <c r="F67" s="8"/>
      <c r="G67" s="58">
        <f>SUM(G45:G66)</f>
        <v>0</v>
      </c>
      <c r="H67" s="58">
        <f>SUM(H45:H66)</f>
        <v>0</v>
      </c>
      <c r="I67" s="58">
        <f>SUM(I45:I66)</f>
        <v>0</v>
      </c>
    </row>
    <row r="68" spans="2:9" ht="18.75">
      <c r="B68" s="93" t="s">
        <v>209</v>
      </c>
      <c r="C68" s="93"/>
      <c r="D68" s="103"/>
      <c r="E68" s="93"/>
      <c r="F68" s="93"/>
      <c r="G68" s="104"/>
      <c r="H68" s="104"/>
      <c r="I68" s="104"/>
    </row>
    <row r="69" spans="2:9" ht="13.5">
      <c r="B69" s="4" t="s">
        <v>119</v>
      </c>
      <c r="C69" s="4" t="s">
        <v>132</v>
      </c>
      <c r="D69" s="38">
        <f>$I$8</f>
        <v>750</v>
      </c>
      <c r="E69" s="106"/>
      <c r="F69" s="4" t="s">
        <v>1</v>
      </c>
      <c r="G69" s="53">
        <f>D69*E69</f>
        <v>0</v>
      </c>
      <c r="H69" s="53">
        <f>G69*0.25</f>
        <v>0</v>
      </c>
      <c r="I69" s="53">
        <f>SUM(G69:H69)</f>
        <v>0</v>
      </c>
    </row>
    <row r="70" spans="2:9" ht="13.5">
      <c r="B70" s="4"/>
      <c r="C70" s="4" t="s">
        <v>133</v>
      </c>
      <c r="D70" s="38">
        <f>$I$8</f>
        <v>750</v>
      </c>
      <c r="E70" s="106"/>
      <c r="F70" s="4" t="s">
        <v>1</v>
      </c>
      <c r="G70" s="53">
        <f>D70*E70</f>
        <v>0</v>
      </c>
      <c r="H70" s="53">
        <f>G70*0.25</f>
        <v>0</v>
      </c>
      <c r="I70" s="53">
        <f>SUM(G70:H70)</f>
        <v>0</v>
      </c>
    </row>
    <row r="71" spans="2:9" ht="13.5">
      <c r="B71" s="5" t="s">
        <v>122</v>
      </c>
      <c r="C71" s="5" t="s">
        <v>123</v>
      </c>
      <c r="D71" s="39">
        <f>$I$8</f>
        <v>750</v>
      </c>
      <c r="E71" s="107"/>
      <c r="F71" s="5" t="s">
        <v>1</v>
      </c>
      <c r="G71" s="55">
        <f>D71*E71</f>
        <v>0</v>
      </c>
      <c r="H71" s="55">
        <f>G71*0.25</f>
        <v>0</v>
      </c>
      <c r="I71" s="55">
        <f>SUM(G71:H71)</f>
        <v>0</v>
      </c>
    </row>
    <row r="72" spans="2:9" ht="13.5">
      <c r="B72" s="4" t="s">
        <v>124</v>
      </c>
      <c r="C72" s="4" t="s">
        <v>339</v>
      </c>
      <c r="D72" s="38">
        <f>$I$8</f>
        <v>750</v>
      </c>
      <c r="E72" s="106"/>
      <c r="F72" s="4" t="s">
        <v>1</v>
      </c>
      <c r="G72" s="53">
        <f>D72*E72</f>
        <v>0</v>
      </c>
      <c r="H72" s="53">
        <f>G72*0.25</f>
        <v>0</v>
      </c>
      <c r="I72" s="53">
        <f>SUM(G72:H72)</f>
        <v>0</v>
      </c>
    </row>
    <row r="73" spans="2:9" ht="15.75">
      <c r="B73" s="8" t="s">
        <v>239</v>
      </c>
      <c r="C73" s="8"/>
      <c r="D73" s="102"/>
      <c r="E73" s="8"/>
      <c r="F73" s="8"/>
      <c r="G73" s="58">
        <f>SUM(G69:G72)</f>
        <v>0</v>
      </c>
      <c r="H73" s="58">
        <f>SUM(H69:H72)</f>
        <v>0</v>
      </c>
      <c r="I73" s="58">
        <f>SUM(I69:I72)</f>
        <v>0</v>
      </c>
    </row>
    <row r="74" spans="2:9" ht="30" customHeight="1">
      <c r="B74" s="65" t="s">
        <v>264</v>
      </c>
      <c r="C74" s="65"/>
      <c r="D74" s="65"/>
      <c r="E74" s="65"/>
      <c r="F74" s="65"/>
      <c r="G74" s="96"/>
      <c r="H74" s="96"/>
      <c r="I74" s="96"/>
    </row>
    <row r="75" spans="2:9" ht="15.75">
      <c r="B75" s="3" t="s">
        <v>240</v>
      </c>
      <c r="C75" s="3"/>
      <c r="D75" s="3"/>
      <c r="E75" s="3"/>
      <c r="F75" s="3"/>
      <c r="G75" s="3" t="s">
        <v>244</v>
      </c>
      <c r="H75" s="3" t="s">
        <v>134</v>
      </c>
      <c r="I75" s="3" t="s">
        <v>245</v>
      </c>
    </row>
    <row r="76" spans="2:9" ht="13.5">
      <c r="B76" s="66" t="str">
        <f>B$10</f>
        <v>KONSULENTSERVICE</v>
      </c>
      <c r="C76" s="67"/>
      <c r="D76" s="66"/>
      <c r="E76" s="66"/>
      <c r="F76" s="66"/>
      <c r="G76" s="68">
        <f>G$16</f>
        <v>0</v>
      </c>
      <c r="H76" s="68">
        <f t="shared" ref="H76:I76" si="27">H$16</f>
        <v>0</v>
      </c>
      <c r="I76" s="68">
        <f t="shared" si="27"/>
        <v>0</v>
      </c>
    </row>
    <row r="77" spans="2:9" ht="13.5">
      <c r="B77" s="66" t="str">
        <f>B$17</f>
        <v>PRÆPARATOPTAG</v>
      </c>
      <c r="C77" s="67"/>
      <c r="D77" s="66"/>
      <c r="E77" s="66"/>
      <c r="F77" s="66"/>
      <c r="G77" s="68">
        <f>G$22</f>
        <v>0</v>
      </c>
      <c r="H77" s="68">
        <f t="shared" ref="H77:I77" si="28">H$22</f>
        <v>0</v>
      </c>
      <c r="I77" s="68">
        <f t="shared" si="28"/>
        <v>0</v>
      </c>
    </row>
    <row r="78" spans="2:9" ht="13.5">
      <c r="B78" s="66" t="str">
        <f>B$23</f>
        <v xml:space="preserve">SÆRLIG DOKUMENTATION </v>
      </c>
      <c r="C78" s="67"/>
      <c r="D78" s="66"/>
      <c r="E78" s="66"/>
      <c r="F78" s="66"/>
      <c r="G78" s="68">
        <f>G$30</f>
        <v>0</v>
      </c>
      <c r="H78" s="68">
        <f t="shared" ref="H78:I78" si="29">H$30</f>
        <v>0</v>
      </c>
      <c r="I78" s="68">
        <f t="shared" si="29"/>
        <v>0</v>
      </c>
    </row>
    <row r="79" spans="2:9" ht="13.5">
      <c r="B79" s="66" t="s">
        <v>194</v>
      </c>
      <c r="C79" s="67"/>
      <c r="D79" s="66"/>
      <c r="E79" s="66"/>
      <c r="F79" s="66"/>
      <c r="G79" s="68">
        <f>G$35</f>
        <v>0</v>
      </c>
      <c r="H79" s="68">
        <f>H$35</f>
        <v>0</v>
      </c>
      <c r="I79" s="68">
        <f>I$35</f>
        <v>0</v>
      </c>
    </row>
    <row r="80" spans="2:9" ht="13.5">
      <c r="B80" s="69" t="str">
        <f>B$36</f>
        <v>MATERIALEANALYSER</v>
      </c>
      <c r="C80" s="69"/>
      <c r="D80" s="69"/>
      <c r="E80" s="69"/>
      <c r="F80" s="69"/>
      <c r="G80" s="70">
        <f>G$43</f>
        <v>0</v>
      </c>
      <c r="H80" s="70">
        <f t="shared" ref="H80:I80" si="30">H$43</f>
        <v>0</v>
      </c>
      <c r="I80" s="70">
        <f t="shared" si="30"/>
        <v>0</v>
      </c>
    </row>
    <row r="81" spans="2:9" ht="13.5">
      <c r="B81" s="69" t="str">
        <f>B$44</f>
        <v>STABILISERENDE KONSERVERING</v>
      </c>
      <c r="C81" s="69"/>
      <c r="D81" s="69"/>
      <c r="E81" s="69"/>
      <c r="F81" s="69"/>
      <c r="G81" s="70">
        <f>G$67</f>
        <v>0</v>
      </c>
      <c r="H81" s="70">
        <f t="shared" ref="H81" si="31">H$67</f>
        <v>0</v>
      </c>
      <c r="I81" s="70">
        <f>I$67</f>
        <v>0</v>
      </c>
    </row>
    <row r="82" spans="2:9" ht="13.5">
      <c r="B82" s="66" t="s">
        <v>209</v>
      </c>
      <c r="C82" s="67"/>
      <c r="D82" s="66"/>
      <c r="E82" s="66"/>
      <c r="F82" s="66"/>
      <c r="G82" s="68">
        <f>G$73</f>
        <v>0</v>
      </c>
      <c r="H82" s="68">
        <f>H$73</f>
        <v>0</v>
      </c>
      <c r="I82" s="68">
        <f>I$73</f>
        <v>0</v>
      </c>
    </row>
    <row r="83" spans="2:9" ht="13.5">
      <c r="B83" s="73" t="s">
        <v>239</v>
      </c>
      <c r="C83" s="74"/>
      <c r="D83" s="74"/>
      <c r="E83" s="74"/>
      <c r="F83" s="74"/>
      <c r="G83" s="14">
        <f>SUM(G76:G82)</f>
        <v>0</v>
      </c>
      <c r="H83" s="14">
        <f>SUM(H76:H82)</f>
        <v>0</v>
      </c>
      <c r="I83" s="14">
        <f>SUM(I76:I82)</f>
        <v>0</v>
      </c>
    </row>
    <row r="84" spans="2:9" ht="11.25" customHeight="1">
      <c r="B84" s="84"/>
      <c r="C84" s="84"/>
      <c r="D84" s="84"/>
      <c r="E84" s="84"/>
      <c r="F84" s="84"/>
      <c r="G84" s="84"/>
      <c r="H84" s="84"/>
      <c r="I84" s="84"/>
    </row>
    <row r="85" spans="2:9"/>
    <row r="86" spans="2:9"/>
    <row r="87" spans="2:9"/>
    <row r="88" spans="2:9"/>
    <row r="89" spans="2:9"/>
    <row r="90" spans="2:9"/>
    <row r="91" spans="2:9"/>
    <row r="92" spans="2:9"/>
    <row r="93" spans="2:9"/>
    <row r="94" spans="2:9"/>
    <row r="95" spans="2:9"/>
    <row r="96" spans="2:9"/>
    <row r="97"/>
    <row r="98"/>
    <row r="99"/>
    <row r="106"/>
    <row r="108"/>
    <row r="109"/>
    <row r="110"/>
    <row r="111"/>
    <row r="112"/>
    <row r="113"/>
    <row r="114"/>
    <row r="115"/>
    <row r="117"/>
    <row r="118"/>
    <row r="119"/>
    <row r="120"/>
  </sheetData>
  <sheetProtection algorithmName="SHA-512" hashValue="/yJO5mjzYSMayEUyDXBDHFQWlGcHPrcuZ9NfcbJEE7M31/BVguwokb0rCNIK8IqOXhW1H/4lMZhgxeJ28Enbww==" saltValue="lePVqdTvphRTBD6201cgMA==" spinCount="100000" sheet="1" objects="1" scenarios="1"/>
  <mergeCells count="1">
    <mergeCell ref="G8:H8"/>
  </mergeCells>
  <dataValidations count="2">
    <dataValidation type="decimal" allowBlank="1" showInputMessage="1" showErrorMessage="1" sqref="E14:E15 E18:E21 E27:E29 E38:E42 E24 E69:E72 E46:E66" xr:uid="{6B88B4C6-3F03-4032-94F4-B98436A6F580}">
      <formula1>0</formula1>
      <formula2>1000</formula2>
    </dataValidation>
    <dataValidation allowBlank="1" showInputMessage="1" showErrorMessage="1" errorTitle="Antal enheder" error="Indtast antallet af prøver, timer eller andre enheder." sqref="E33:E34" xr:uid="{2F4814E6-E7B4-4304-8852-8C8B3792E565}"/>
  </dataValidations>
  <pageMargins left="0.25" right="0.25" top="0.75" bottom="0.75" header="0.3" footer="0.3"/>
  <pageSetup paperSize="9" scale="45" fitToHeight="0" orientation="portrait" r:id="rId1"/>
  <ignoredErrors>
    <ignoredError sqref="G28 G41 G5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507F5-D501-4A88-A7AE-8365F189283C}">
  <sheetPr>
    <tabColor theme="4"/>
  </sheetPr>
  <dimension ref="A1:B8"/>
  <sheetViews>
    <sheetView workbookViewId="0">
      <selection activeCell="B9" sqref="B9"/>
    </sheetView>
  </sheetViews>
  <sheetFormatPr defaultRowHeight="12.75"/>
  <cols>
    <col min="1" max="1" width="21.42578125" customWidth="1"/>
    <col min="2" max="2" width="183" customWidth="1"/>
  </cols>
  <sheetData>
    <row r="1" spans="1:2">
      <c r="A1" s="1" t="s">
        <v>225</v>
      </c>
      <c r="B1" s="1" t="s">
        <v>221</v>
      </c>
    </row>
    <row r="2" spans="1:2">
      <c r="A2" s="115">
        <v>45383</v>
      </c>
      <c r="B2" t="s">
        <v>222</v>
      </c>
    </row>
    <row r="3" spans="1:2">
      <c r="A3" s="115"/>
      <c r="B3" t="s">
        <v>223</v>
      </c>
    </row>
    <row r="4" spans="1:2">
      <c r="A4" s="115"/>
      <c r="B4" t="s">
        <v>231</v>
      </c>
    </row>
    <row r="5" spans="1:2">
      <c r="A5" s="115"/>
      <c r="B5" t="s">
        <v>224</v>
      </c>
    </row>
    <row r="6" spans="1:2">
      <c r="A6" s="116">
        <v>45689</v>
      </c>
      <c r="B6" t="s">
        <v>246</v>
      </c>
    </row>
    <row r="7" spans="1:2">
      <c r="A7" s="116"/>
      <c r="B7" t="s">
        <v>247</v>
      </c>
    </row>
    <row r="8" spans="1:2">
      <c r="A8" s="2">
        <v>45748</v>
      </c>
      <c r="B8" t="s">
        <v>278</v>
      </c>
    </row>
  </sheetData>
  <mergeCells count="2">
    <mergeCell ref="A2:A5"/>
    <mergeCell ref="A6:A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15</TotalTime>
  <Application>Microsoft Excel</Application>
  <DocSecurity>0</DocSecurity>
  <ScaleCrop>false</ScaleCrop>
  <HeadingPairs>
    <vt:vector size="2" baseType="variant">
      <vt:variant>
        <vt:lpstr>Regneark</vt:lpstr>
      </vt:variant>
      <vt:variant>
        <vt:i4>6</vt:i4>
      </vt:variant>
    </vt:vector>
  </HeadingPairs>
  <TitlesOfParts>
    <vt:vector size="6" baseType="lpstr">
      <vt:lpstr>PRISLISTE NAT.</vt:lpstr>
      <vt:lpstr>PRISBEREGNER NAT.</vt:lpstr>
      <vt:lpstr>PRISOVERSLAG ARKÆO.</vt:lpstr>
      <vt:lpstr>PRISLISTE KONS.</vt:lpstr>
      <vt:lpstr>PRISBEREGNER KONS.</vt:lpstr>
      <vt:lpstr>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Jonas Ogdal Jensen</dc:creator>
  <cp:lastModifiedBy>Emma Klos Nielsen</cp:lastModifiedBy>
  <cp:lastPrinted>2026-04-13T07:23:43Z</cp:lastPrinted>
  <dcterms:created xsi:type="dcterms:W3CDTF">2019-06-27T11:09:39Z</dcterms:created>
  <dcterms:modified xsi:type="dcterms:W3CDTF">2026-08-26T12:21:22Z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2019-06-24T20:54:07Z</dcterms:created>
  <dc:creator/>
  <dc:description/>
  <dc:language>da-DK</dc:language>
  <cp:lastModifiedBy/>
  <dcterms:modified xsi:type="dcterms:W3CDTF">2019-06-24T22:13:35Z</dcterms:modified>
  <cp:revision>3</cp:revision>
  <dc:subject/>
  <dc:title/>
</cp:coreProperties>
</file>