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enne_projektmappe"/>
  <mc:AlternateContent xmlns:mc="http://schemas.openxmlformats.org/markup-compatibility/2006">
    <mc:Choice Requires="x15">
      <x15ac:absPath xmlns:x15ac="http://schemas.microsoft.com/office/spreadsheetml/2010/11/ac" url="https://moesgaardmuseum-my.sharepoint.com/personal/mbt_moesgaardmuseum_dk/Documents/Skrivebord/"/>
    </mc:Choice>
  </mc:AlternateContent>
  <xr:revisionPtr revIDLastSave="6" documentId="13_ncr:1_{EAC049BD-95A6-443F-AC5A-61259AAB1EFD}" xr6:coauthVersionLast="47" xr6:coauthVersionMax="47" xr10:uidLastSave="{84FEA70F-34B4-4097-8264-C2FCEB342F39}"/>
  <bookViews>
    <workbookView xWindow="-120" yWindow="-120" windowWidth="29040" windowHeight="15720" tabRatio="578" activeTab="1" xr2:uid="{00000000-000D-0000-FFFF-FFFF00000000}"/>
  </bookViews>
  <sheets>
    <sheet name="PRISLISTE NAT." sheetId="7" r:id="rId1"/>
    <sheet name="PRISBEREGNER NAT." sheetId="5" r:id="rId2"/>
    <sheet name="PRISLISTE KONS." sheetId="10" r:id="rId3"/>
    <sheet name="PRISBEREGNER KONS." sheetId="11" r:id="rId4"/>
    <sheet name="LOG" sheetId="15" state="hidden" r:id="rId5"/>
  </sheets>
  <definedNames>
    <definedName name="AFSENDER">#REF!</definedName>
    <definedName name="AFSENDERTITEL">#REF!</definedName>
    <definedName name="MODTAGERTITEL">#REF!</definedName>
    <definedName name="MUSEE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
    </ext>
  </extLst>
</workbook>
</file>

<file path=xl/calcChain.xml><?xml version="1.0" encoding="utf-8"?>
<calcChain xmlns="http://schemas.openxmlformats.org/spreadsheetml/2006/main">
  <c r="G66" i="5" l="1"/>
  <c r="E61" i="7"/>
  <c r="D66" i="5"/>
  <c r="D50" i="5"/>
  <c r="D48" i="5"/>
  <c r="D49" i="5"/>
  <c r="E46" i="7"/>
  <c r="E50" i="7"/>
  <c r="E47" i="7"/>
  <c r="G50" i="5"/>
  <c r="G47" i="5"/>
  <c r="G49" i="5"/>
  <c r="G48" i="5"/>
  <c r="E44" i="7"/>
  <c r="E33" i="7"/>
  <c r="D36" i="5" s="1"/>
  <c r="G36" i="5" s="1"/>
  <c r="E31" i="7"/>
  <c r="E32" i="7"/>
  <c r="E45" i="7"/>
  <c r="G83" i="11"/>
  <c r="G74" i="11"/>
  <c r="H74" i="11"/>
  <c r="I74" i="11"/>
  <c r="D73" i="11"/>
  <c r="G73" i="11" s="1"/>
  <c r="G37" i="11"/>
  <c r="D66" i="11"/>
  <c r="G66" i="11" s="1"/>
  <c r="H66" i="11" s="1"/>
  <c r="I66" i="11" s="1"/>
  <c r="F63" i="10"/>
  <c r="B77" i="11"/>
  <c r="B78" i="11"/>
  <c r="B79" i="11"/>
  <c r="B81" i="11"/>
  <c r="B82" i="11"/>
  <c r="H66" i="5" l="1"/>
  <c r="I66" i="5" s="1"/>
  <c r="G51" i="5"/>
  <c r="H50" i="5"/>
  <c r="I50" i="5" s="1"/>
  <c r="H48" i="5"/>
  <c r="I48" i="5" s="1"/>
  <c r="H49" i="5"/>
  <c r="I49" i="5" s="1"/>
  <c r="H47" i="5"/>
  <c r="H36" i="5"/>
  <c r="I36" i="5" s="1"/>
  <c r="H73" i="11"/>
  <c r="I73" i="11" s="1"/>
  <c r="G55" i="5"/>
  <c r="I47" i="5" l="1"/>
  <c r="I51" i="5" s="1"/>
  <c r="H51" i="5"/>
  <c r="D54" i="5"/>
  <c r="F37" i="10"/>
  <c r="D42" i="11" s="1"/>
  <c r="G45" i="11"/>
  <c r="G32" i="11"/>
  <c r="H32" i="11" s="1"/>
  <c r="I32" i="11" s="1"/>
  <c r="G24" i="11"/>
  <c r="G18" i="11"/>
  <c r="F40" i="10"/>
  <c r="F32" i="10"/>
  <c r="F19" i="10"/>
  <c r="F14" i="10"/>
  <c r="G53" i="5"/>
  <c r="G41" i="5"/>
  <c r="G23" i="5"/>
  <c r="E49" i="7"/>
  <c r="E36" i="7"/>
  <c r="E17" i="7"/>
  <c r="E51" i="7"/>
  <c r="E53" i="7"/>
  <c r="D38" i="5"/>
  <c r="G38" i="5" s="1"/>
  <c r="D63" i="5"/>
  <c r="G63" i="5" s="1"/>
  <c r="G67" i="5" s="1"/>
  <c r="G84" i="5" s="1"/>
  <c r="G32" i="5"/>
  <c r="E15" i="7"/>
  <c r="G44" i="5"/>
  <c r="E42" i="7"/>
  <c r="E38" i="7"/>
  <c r="G33" i="11"/>
  <c r="H33" i="11" s="1"/>
  <c r="I33" i="11" s="1"/>
  <c r="G34" i="11"/>
  <c r="F36" i="10"/>
  <c r="H38" i="5" l="1"/>
  <c r="I38" i="5" s="1"/>
  <c r="G35" i="11"/>
  <c r="G80" i="11" s="1"/>
  <c r="H45" i="11"/>
  <c r="I45" i="11" s="1"/>
  <c r="H34" i="11"/>
  <c r="I34" i="11" s="1"/>
  <c r="D21" i="11"/>
  <c r="D14" i="11"/>
  <c r="G33" i="5"/>
  <c r="D34" i="5"/>
  <c r="G34" i="5" s="1"/>
  <c r="E30" i="7"/>
  <c r="E29" i="7"/>
  <c r="E28" i="7"/>
  <c r="D29" i="5"/>
  <c r="G16" i="5" l="1"/>
  <c r="H16" i="5" s="1"/>
  <c r="D11" i="11"/>
  <c r="G11" i="11" s="1"/>
  <c r="H11" i="11" s="1"/>
  <c r="I11" i="11" s="1"/>
  <c r="H37" i="11"/>
  <c r="D41" i="11"/>
  <c r="G41" i="11" s="1"/>
  <c r="G42" i="11"/>
  <c r="D15" i="5"/>
  <c r="D14" i="5"/>
  <c r="D37" i="5"/>
  <c r="D32" i="5"/>
  <c r="D28" i="5"/>
  <c r="D24" i="5"/>
  <c r="G24" i="5" s="1"/>
  <c r="D20" i="5"/>
  <c r="I16" i="5" l="1"/>
  <c r="H41" i="11"/>
  <c r="H42" i="11"/>
  <c r="I42" i="11" s="1"/>
  <c r="E39" i="7"/>
  <c r="E19" i="7"/>
  <c r="D25" i="5" s="1"/>
  <c r="E52" i="7"/>
  <c r="D56" i="5" s="1"/>
  <c r="G56" i="5" s="1"/>
  <c r="D35" i="5"/>
  <c r="D27" i="11"/>
  <c r="I41" i="11" l="1"/>
  <c r="D72" i="11" l="1"/>
  <c r="D70" i="11"/>
  <c r="D71" i="11"/>
  <c r="D69" i="11"/>
  <c r="D59" i="11"/>
  <c r="G56" i="11"/>
  <c r="G55" i="11"/>
  <c r="H55" i="11" s="1"/>
  <c r="G28" i="11"/>
  <c r="F25" i="10"/>
  <c r="F24" i="10"/>
  <c r="F22" i="10"/>
  <c r="D26" i="11" s="1"/>
  <c r="G26" i="11" s="1"/>
  <c r="H26" i="11" s="1"/>
  <c r="F21" i="10"/>
  <c r="F20" i="10"/>
  <c r="F16" i="10"/>
  <c r="D20" i="11" s="1"/>
  <c r="G20" i="11" s="1"/>
  <c r="H20" i="11" s="1"/>
  <c r="I20" i="11" s="1"/>
  <c r="F15" i="10"/>
  <c r="D19" i="11" s="1"/>
  <c r="G19" i="11" s="1"/>
  <c r="H19" i="11" s="1"/>
  <c r="I19" i="11" s="1"/>
  <c r="G25" i="11"/>
  <c r="H25" i="11" s="1"/>
  <c r="I25" i="11" s="1"/>
  <c r="G19" i="5"/>
  <c r="G21" i="11"/>
  <c r="H21" i="11" s="1"/>
  <c r="I21" i="11" s="1"/>
  <c r="D12" i="11"/>
  <c r="G12" i="11" s="1"/>
  <c r="H12" i="11" s="1"/>
  <c r="I12" i="11" s="1"/>
  <c r="D13" i="11"/>
  <c r="G13" i="11" s="1"/>
  <c r="D25" i="11" l="1"/>
  <c r="D28" i="11"/>
  <c r="I37" i="11"/>
  <c r="G22" i="11"/>
  <c r="G78" i="11" s="1"/>
  <c r="I26" i="11"/>
  <c r="H24" i="11"/>
  <c r="I24" i="11" s="1"/>
  <c r="H13" i="11"/>
  <c r="I13" i="11" s="1"/>
  <c r="F53" i="10"/>
  <c r="F51" i="10"/>
  <c r="F41" i="10"/>
  <c r="D46" i="11" s="1"/>
  <c r="F34" i="10"/>
  <c r="D39" i="11" s="1"/>
  <c r="G39" i="11" s="1"/>
  <c r="H39" i="11" s="1"/>
  <c r="I39" i="11" s="1"/>
  <c r="F35" i="10"/>
  <c r="D40" i="11" s="1"/>
  <c r="G40" i="11" s="1"/>
  <c r="H40" i="11" s="1"/>
  <c r="I40" i="11" s="1"/>
  <c r="F33" i="10"/>
  <c r="D38" i="11" s="1"/>
  <c r="G38" i="11" s="1"/>
  <c r="F28" i="10"/>
  <c r="F10" i="10"/>
  <c r="G43" i="11" l="1"/>
  <c r="G81" i="11" s="1"/>
  <c r="H38" i="11"/>
  <c r="I35" i="11"/>
  <c r="I80" i="11" s="1"/>
  <c r="H35" i="11"/>
  <c r="H80" i="11" s="1"/>
  <c r="I38" i="11" l="1"/>
  <c r="I43" i="11" s="1"/>
  <c r="I81" i="11" s="1"/>
  <c r="H43" i="11"/>
  <c r="H81" i="11" s="1"/>
  <c r="G14" i="5"/>
  <c r="E8" i="7"/>
  <c r="D57" i="5" l="1"/>
  <c r="G57" i="5" s="1"/>
  <c r="E23" i="7"/>
  <c r="E20" i="7"/>
  <c r="D26" i="5" s="1"/>
  <c r="E21" i="7"/>
  <c r="D27" i="5" s="1"/>
  <c r="G59" i="11"/>
  <c r="B73" i="5"/>
  <c r="H55" i="5"/>
  <c r="B82" i="5"/>
  <c r="B81" i="5"/>
  <c r="G54" i="5"/>
  <c r="G81" i="5" s="1"/>
  <c r="H56" i="5"/>
  <c r="D65" i="5"/>
  <c r="D33" i="5" l="1"/>
  <c r="H54" i="5"/>
  <c r="I54" i="5" s="1"/>
  <c r="G58" i="5"/>
  <c r="H59" i="11"/>
  <c r="I59" i="11" s="1"/>
  <c r="G82" i="5"/>
  <c r="H53" i="5"/>
  <c r="I55" i="5"/>
  <c r="H81" i="5" l="1"/>
  <c r="I53" i="5"/>
  <c r="I81" i="5" s="1"/>
  <c r="G65" i="5" l="1"/>
  <c r="H65" i="5" l="1"/>
  <c r="I65" i="5" s="1"/>
  <c r="G20" i="5" l="1"/>
  <c r="H20" i="5" s="1"/>
  <c r="I20" i="5" s="1"/>
  <c r="G21" i="5" l="1"/>
  <c r="G71" i="5" s="1"/>
  <c r="E40" i="7" l="1"/>
  <c r="B72" i="5" l="1"/>
  <c r="B78" i="5"/>
  <c r="B77" i="5"/>
  <c r="B74" i="5"/>
  <c r="G72" i="11" l="1"/>
  <c r="G71" i="11"/>
  <c r="G70" i="11"/>
  <c r="G69" i="11"/>
  <c r="D65" i="11"/>
  <c r="G65" i="11" s="1"/>
  <c r="D64" i="11"/>
  <c r="G64" i="11" s="1"/>
  <c r="D63" i="11"/>
  <c r="G63" i="11" s="1"/>
  <c r="D62" i="11"/>
  <c r="G62" i="11" s="1"/>
  <c r="H62" i="11" s="1"/>
  <c r="I62" i="11" s="1"/>
  <c r="D61" i="11"/>
  <c r="G61" i="11" s="1"/>
  <c r="D60" i="11"/>
  <c r="G60" i="11" s="1"/>
  <c r="H60" i="11" s="1"/>
  <c r="I60" i="11" s="1"/>
  <c r="D58" i="11"/>
  <c r="G58" i="11" s="1"/>
  <c r="D57" i="11"/>
  <c r="G57" i="11" s="1"/>
  <c r="H57" i="11" s="1"/>
  <c r="I57" i="11" s="1"/>
  <c r="D54" i="11"/>
  <c r="D53" i="11"/>
  <c r="G53" i="11" s="1"/>
  <c r="D52" i="11"/>
  <c r="D51" i="11"/>
  <c r="G51" i="11" s="1"/>
  <c r="D50" i="11"/>
  <c r="G46" i="11"/>
  <c r="D29" i="11"/>
  <c r="G29" i="11" s="1"/>
  <c r="G27" i="11"/>
  <c r="G15" i="11"/>
  <c r="H15" i="11" s="1"/>
  <c r="I15" i="11" s="1"/>
  <c r="G14" i="11"/>
  <c r="F62" i="10"/>
  <c r="F61" i="10"/>
  <c r="F60" i="10"/>
  <c r="F59" i="10"/>
  <c r="F58" i="10"/>
  <c r="F57" i="10"/>
  <c r="F55" i="10"/>
  <c r="F54" i="10"/>
  <c r="F52" i="10"/>
  <c r="D56" i="11" s="1"/>
  <c r="F50" i="10"/>
  <c r="D55" i="11" s="1"/>
  <c r="F49" i="10"/>
  <c r="F48" i="10"/>
  <c r="F47" i="10"/>
  <c r="F46" i="10"/>
  <c r="F45" i="10"/>
  <c r="F44" i="10"/>
  <c r="D49" i="11" s="1"/>
  <c r="G49" i="11" s="1"/>
  <c r="F43" i="10"/>
  <c r="D48" i="11" s="1"/>
  <c r="G48" i="11" s="1"/>
  <c r="H48" i="11" s="1"/>
  <c r="I48" i="11" s="1"/>
  <c r="F42" i="10"/>
  <c r="D47" i="11" s="1"/>
  <c r="G47" i="11" s="1"/>
  <c r="F9" i="10"/>
  <c r="F8" i="10"/>
  <c r="G30" i="11" l="1"/>
  <c r="G16" i="11"/>
  <c r="G77" i="11" s="1"/>
  <c r="H29" i="11"/>
  <c r="I29" i="11" s="1"/>
  <c r="H28" i="11"/>
  <c r="I28" i="11" s="1"/>
  <c r="H27" i="11"/>
  <c r="I27" i="11" s="1"/>
  <c r="G52" i="11"/>
  <c r="H52" i="11" s="1"/>
  <c r="I52" i="11" s="1"/>
  <c r="G54" i="11"/>
  <c r="H54" i="11" s="1"/>
  <c r="I54" i="11" s="1"/>
  <c r="G50" i="11"/>
  <c r="G67" i="11" s="1"/>
  <c r="G82" i="11" s="1"/>
  <c r="H46" i="11"/>
  <c r="H71" i="11"/>
  <c r="I71" i="11" s="1"/>
  <c r="H56" i="11"/>
  <c r="I56" i="11" s="1"/>
  <c r="H72" i="11"/>
  <c r="I72" i="11" s="1"/>
  <c r="H18" i="11"/>
  <c r="H22" i="11" s="1"/>
  <c r="H78" i="11" s="1"/>
  <c r="H53" i="11"/>
  <c r="I53" i="11" s="1"/>
  <c r="H64" i="11"/>
  <c r="I64" i="11" s="1"/>
  <c r="H61" i="11"/>
  <c r="I61" i="11" s="1"/>
  <c r="H63" i="11"/>
  <c r="I63" i="11" s="1"/>
  <c r="H58" i="11"/>
  <c r="I58" i="11" s="1"/>
  <c r="H65" i="11"/>
  <c r="I65" i="11" s="1"/>
  <c r="H70" i="11"/>
  <c r="I70" i="11" s="1"/>
  <c r="H47" i="11"/>
  <c r="H49" i="11"/>
  <c r="I49" i="11" s="1"/>
  <c r="H51" i="11"/>
  <c r="I51" i="11" s="1"/>
  <c r="I55" i="11"/>
  <c r="H69" i="11"/>
  <c r="H14" i="11"/>
  <c r="H16" i="11" s="1"/>
  <c r="H77" i="11" s="1"/>
  <c r="H30" i="11" l="1"/>
  <c r="H79" i="11" s="1"/>
  <c r="G79" i="11"/>
  <c r="G84" i="11" s="1"/>
  <c r="I47" i="11"/>
  <c r="I46" i="11"/>
  <c r="I69" i="11"/>
  <c r="I83" i="11" s="1"/>
  <c r="H83" i="11"/>
  <c r="I30" i="11"/>
  <c r="I79" i="11" s="1"/>
  <c r="H50" i="11"/>
  <c r="I50" i="11" s="1"/>
  <c r="I14" i="11"/>
  <c r="I16" i="11" s="1"/>
  <c r="I77" i="11" s="1"/>
  <c r="I18" i="11"/>
  <c r="I22" i="11" s="1"/>
  <c r="I78" i="11" s="1"/>
  <c r="I67" i="11" l="1"/>
  <c r="H67" i="11"/>
  <c r="H82" i="11" s="1"/>
  <c r="H84" i="11" s="1"/>
  <c r="I82" i="11"/>
  <c r="I84" i="11" s="1"/>
  <c r="D64" i="5" l="1"/>
  <c r="G64" i="5" s="1"/>
  <c r="B84" i="5"/>
  <c r="H64" i="5" l="1"/>
  <c r="I64" i="5" s="1"/>
  <c r="H63" i="5"/>
  <c r="H67" i="5" s="1"/>
  <c r="D60" i="5"/>
  <c r="G60" i="5" s="1"/>
  <c r="G61" i="5" l="1"/>
  <c r="G83" i="5" s="1"/>
  <c r="H84" i="5"/>
  <c r="I63" i="5"/>
  <c r="I67" i="5" s="1"/>
  <c r="I84" i="5" l="1"/>
  <c r="G37" i="5" l="1"/>
  <c r="H37" i="5" s="1"/>
  <c r="I37" i="5" s="1"/>
  <c r="H32" i="5" l="1"/>
  <c r="G29" i="5"/>
  <c r="H29" i="5" l="1"/>
  <c r="I29" i="5" s="1"/>
  <c r="B83" i="5" l="1"/>
  <c r="B80" i="5"/>
  <c r="B79" i="5"/>
  <c r="B76" i="5"/>
  <c r="B75" i="5"/>
  <c r="B71" i="5"/>
  <c r="B70" i="5"/>
  <c r="D43" i="5" l="1"/>
  <c r="G43" i="5" s="1"/>
  <c r="D42" i="5"/>
  <c r="D12" i="5"/>
  <c r="D13" i="5"/>
  <c r="G13" i="5" s="1"/>
  <c r="D11" i="5"/>
  <c r="G11" i="5" s="1"/>
  <c r="E9" i="7" l="1"/>
  <c r="E41" i="7" l="1"/>
  <c r="E37" i="7"/>
  <c r="H60" i="5" l="1"/>
  <c r="H61" i="5" s="1"/>
  <c r="H44" i="5"/>
  <c r="G78" i="5"/>
  <c r="G42" i="5"/>
  <c r="H41" i="5"/>
  <c r="G35" i="5"/>
  <c r="G28" i="5"/>
  <c r="G27" i="5"/>
  <c r="H27" i="5" s="1"/>
  <c r="I27" i="5" s="1"/>
  <c r="G26" i="5"/>
  <c r="G25" i="5"/>
  <c r="G30" i="5" s="1"/>
  <c r="H24" i="5"/>
  <c r="H23" i="5"/>
  <c r="G15" i="5"/>
  <c r="H15" i="5" s="1"/>
  <c r="I15" i="5" s="1"/>
  <c r="H14" i="5"/>
  <c r="I14" i="5" s="1"/>
  <c r="G12" i="5"/>
  <c r="G39" i="5" l="1"/>
  <c r="G75" i="5" s="1"/>
  <c r="H26" i="5"/>
  <c r="I26" i="5" s="1"/>
  <c r="G17" i="5"/>
  <c r="G70" i="5" s="1"/>
  <c r="G73" i="5"/>
  <c r="G77" i="5"/>
  <c r="G45" i="5"/>
  <c r="G76" i="5" s="1"/>
  <c r="H57" i="5"/>
  <c r="H82" i="5" s="1"/>
  <c r="G80" i="5"/>
  <c r="G79" i="5"/>
  <c r="I41" i="5"/>
  <c r="H34" i="5"/>
  <c r="I34" i="5" s="1"/>
  <c r="H42" i="5"/>
  <c r="I42" i="5" s="1"/>
  <c r="H33" i="5"/>
  <c r="H11" i="5"/>
  <c r="H19" i="5"/>
  <c r="H21" i="5" s="1"/>
  <c r="H28" i="5"/>
  <c r="I28" i="5" s="1"/>
  <c r="I23" i="5"/>
  <c r="H83" i="5"/>
  <c r="I60" i="5"/>
  <c r="H13" i="5"/>
  <c r="I13" i="5" s="1"/>
  <c r="H43" i="5"/>
  <c r="H25" i="5"/>
  <c r="I25" i="5" s="1"/>
  <c r="I32" i="5"/>
  <c r="H35" i="5"/>
  <c r="I35" i="5" s="1"/>
  <c r="I44" i="5"/>
  <c r="H12" i="5"/>
  <c r="I12" i="5" s="1"/>
  <c r="H39" i="5" l="1"/>
  <c r="H75" i="5" s="1"/>
  <c r="H17" i="5"/>
  <c r="H70" i="5" s="1"/>
  <c r="I57" i="5"/>
  <c r="H58" i="5"/>
  <c r="H80" i="5" s="1"/>
  <c r="I77" i="5"/>
  <c r="H77" i="5"/>
  <c r="I43" i="5"/>
  <c r="I78" i="5" s="1"/>
  <c r="H78" i="5"/>
  <c r="H73" i="5"/>
  <c r="I61" i="5"/>
  <c r="I83" i="5" s="1"/>
  <c r="H45" i="5"/>
  <c r="H76" i="5" s="1"/>
  <c r="I33" i="5"/>
  <c r="I39" i="5" s="1"/>
  <c r="H71" i="5"/>
  <c r="I11" i="5"/>
  <c r="I19" i="5"/>
  <c r="I24" i="5"/>
  <c r="I73" i="5" s="1"/>
  <c r="H79" i="5"/>
  <c r="I56" i="5"/>
  <c r="I75" i="5" l="1"/>
  <c r="I17" i="5"/>
  <c r="I70" i="5" s="1"/>
  <c r="I58" i="5"/>
  <c r="I80" i="5" s="1"/>
  <c r="I82" i="5"/>
  <c r="I21" i="5"/>
  <c r="I71" i="5" s="1"/>
  <c r="I45" i="5"/>
  <c r="I76" i="5" s="1"/>
  <c r="I79" i="5"/>
  <c r="G74" i="5" l="1"/>
  <c r="G72" i="5"/>
  <c r="G85" i="5" l="1"/>
  <c r="H74" i="5"/>
  <c r="H30" i="5"/>
  <c r="I30" i="5"/>
  <c r="I74" i="5"/>
  <c r="I72" i="5" l="1"/>
  <c r="I85" i="5" s="1"/>
  <c r="H72" i="5"/>
  <c r="H85" i="5"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<sst xmlns="http://schemas.openxmlformats.org/spreadsheetml/2006/main" count="630" uniqueCount="265">
  <si>
    <t>Strategimøde (telefonisk)</t>
  </si>
  <si>
    <t>timer</t>
  </si>
  <si>
    <t>Strategimøde i felten</t>
  </si>
  <si>
    <t>Prøveudtagning/feltarbejde</t>
  </si>
  <si>
    <t>Kørsel</t>
  </si>
  <si>
    <t>km</t>
  </si>
  <si>
    <t>Felttillæg</t>
  </si>
  <si>
    <t>dage</t>
  </si>
  <si>
    <t>Flotering</t>
  </si>
  <si>
    <t>prøver</t>
  </si>
  <si>
    <t>Startgebyr pr. ny sag</t>
  </si>
  <si>
    <t>Kursorisk gennemsyn</t>
  </si>
  <si>
    <t>Ompakning af prøver ifm. gennemsyn</t>
  </si>
  <si>
    <t>Analyse med rapport</t>
  </si>
  <si>
    <t>Udtagning til 14C</t>
  </si>
  <si>
    <t>Wiggle-match udtagning</t>
  </si>
  <si>
    <t>Vedanalyse</t>
  </si>
  <si>
    <t>Rapport</t>
  </si>
  <si>
    <t>CT-scanning</t>
  </si>
  <si>
    <t xml:space="preserve">Analyse </t>
  </si>
  <si>
    <t>pr. dag</t>
  </si>
  <si>
    <t>TEFRA</t>
  </si>
  <si>
    <t>DENDROKRONOLOGI</t>
  </si>
  <si>
    <t>VANDDRUKKENT TRÆ</t>
  </si>
  <si>
    <t>TRÆKUL</t>
  </si>
  <si>
    <t>UDTAGNING TIL 14C-DATERING</t>
  </si>
  <si>
    <t>MAKROFOSSILER</t>
  </si>
  <si>
    <t>PRØVEFORARBEJDNING</t>
  </si>
  <si>
    <t>KONSULENTSERVICE</t>
  </si>
  <si>
    <t>pr. time</t>
  </si>
  <si>
    <t>pr. km</t>
  </si>
  <si>
    <t>pr. prøve</t>
  </si>
  <si>
    <t>pr. sag</t>
  </si>
  <si>
    <t xml:space="preserve">Startgebyr </t>
  </si>
  <si>
    <t>Tørt</t>
  </si>
  <si>
    <t>1. prøve</t>
  </si>
  <si>
    <t>2. og 3. prøve</t>
  </si>
  <si>
    <t>Efterfølgende prøver</t>
  </si>
  <si>
    <t>Ekskl. kørsel</t>
  </si>
  <si>
    <t>Ekskl. kørsel og felttillæg</t>
  </si>
  <si>
    <t>pr. rapport</t>
  </si>
  <si>
    <t>pr. emne</t>
  </si>
  <si>
    <t>VANDDRUKKENT/UFORKULLET TRÆ</t>
  </si>
  <si>
    <t>Startgebyr</t>
  </si>
  <si>
    <t>&lt;2 kg</t>
  </si>
  <si>
    <t>&gt;2 kg</t>
  </si>
  <si>
    <t>Dendrokronologisk datering</t>
  </si>
  <si>
    <t>F.eks. via skype</t>
  </si>
  <si>
    <t>T/r Moesgård-lokalitet</t>
  </si>
  <si>
    <t>Pr. dag</t>
  </si>
  <si>
    <t>Pollensøjle</t>
  </si>
  <si>
    <t>Inkl. simpel rapport</t>
  </si>
  <si>
    <t>Ekskl. rapport</t>
  </si>
  <si>
    <t xml:space="preserve">Indtastning til Poznan </t>
  </si>
  <si>
    <t>Indtastning til Poznan</t>
  </si>
  <si>
    <t>Ekspres kursorisk gennemsyn</t>
  </si>
  <si>
    <t>Ekspres udtagning til 14C</t>
  </si>
  <si>
    <t>Timepris (kr. ex. moms):</t>
  </si>
  <si>
    <t>&lt;2kg</t>
  </si>
  <si>
    <t>pakker</t>
  </si>
  <si>
    <t>PRÆPARATOPTAG</t>
  </si>
  <si>
    <t>pr. præparat</t>
  </si>
  <si>
    <t xml:space="preserve">SÆRLIG DOKUMENTATION </t>
  </si>
  <si>
    <t xml:space="preserve">Mikroskopbilleder </t>
  </si>
  <si>
    <t>pr. genstand</t>
  </si>
  <si>
    <t>Røntgenbilleder</t>
  </si>
  <si>
    <t>3D dokumentation</t>
  </si>
  <si>
    <t>MATERIALEANALYSER</t>
  </si>
  <si>
    <t xml:space="preserve">Artsbestemmelse, </t>
  </si>
  <si>
    <t xml:space="preserve">Fiberidentifikation </t>
  </si>
  <si>
    <t xml:space="preserve">Spottest </t>
  </si>
  <si>
    <t>Lipidanalyse</t>
  </si>
  <si>
    <t>Kniv, middelstørrelse</t>
  </si>
  <si>
    <t>Nitte/søm</t>
  </si>
  <si>
    <t>Fibel</t>
  </si>
  <si>
    <t>Økse</t>
  </si>
  <si>
    <t xml:space="preserve">Bronze </t>
  </si>
  <si>
    <t>Mønt</t>
  </si>
  <si>
    <t>Vægtlod</t>
  </si>
  <si>
    <t xml:space="preserve">Sølv </t>
  </si>
  <si>
    <t>Perle</t>
  </si>
  <si>
    <t>Rav</t>
  </si>
  <si>
    <t xml:space="preserve">Keramik </t>
  </si>
  <si>
    <t xml:space="preserve">Stabiliserende sammensætning af kar </t>
  </si>
  <si>
    <t xml:space="preserve">Nål </t>
  </si>
  <si>
    <t>Spillebrik</t>
  </si>
  <si>
    <t>Vævevægt e. lign.</t>
  </si>
  <si>
    <t>Komposit</t>
  </si>
  <si>
    <t>Jernkniv m. organisk skaft (ex. træ eller ben)</t>
  </si>
  <si>
    <t>Bronzefibel m. organisk materiale (ex. tekstil eller træ)</t>
  </si>
  <si>
    <t>Vanddrukkent træ</t>
  </si>
  <si>
    <t>Mindre genstande (ex. åreblad)</t>
  </si>
  <si>
    <t>Større genstande (ex. bygningstømmer)</t>
  </si>
  <si>
    <t>Læder (vådfundet)</t>
  </si>
  <si>
    <t>Læderfragmenter (5 stk.)</t>
  </si>
  <si>
    <t>Tekstil (vådfundet)</t>
  </si>
  <si>
    <t xml:space="preserve">5 stk. </t>
  </si>
  <si>
    <t>præparater</t>
  </si>
  <si>
    <t>genstande</t>
  </si>
  <si>
    <t>Nål</t>
  </si>
  <si>
    <t xml:space="preserve">Vævevægt e. lign. </t>
  </si>
  <si>
    <t xml:space="preserve">Jernkniv m. organisk skaft </t>
  </si>
  <si>
    <t xml:space="preserve">Bronzefibel m. organisk materiale </t>
  </si>
  <si>
    <t>Mindre genstande</t>
  </si>
  <si>
    <t>Større genstande</t>
  </si>
  <si>
    <t>MOMS</t>
  </si>
  <si>
    <t>SUM</t>
  </si>
  <si>
    <t>5-9 prøver = 8 timer</t>
  </si>
  <si>
    <t>Til og med 4 prøver = 2 timer</t>
  </si>
  <si>
    <t>Vådsoldning (0,25-2mm)</t>
  </si>
  <si>
    <t>5 L jordprøve</t>
  </si>
  <si>
    <t>Forsendelse (pr. sag)</t>
  </si>
  <si>
    <t>Sammenskrivning</t>
  </si>
  <si>
    <t>Sammenskrivning af rapporter (pr. sag)</t>
  </si>
  <si>
    <t>Startgebyr pr. sag</t>
  </si>
  <si>
    <t>Arkæologiske fund</t>
  </si>
  <si>
    <t>Stående bygninger (fx. boreprøver)</t>
  </si>
  <si>
    <t>Startgebyr for datering</t>
  </si>
  <si>
    <t>Prøveudtagning (fx boreprøver)</t>
  </si>
  <si>
    <t>Glas</t>
  </si>
  <si>
    <t>Udgravning af tomt kar</t>
  </si>
  <si>
    <t xml:space="preserve">Udgravning af urne med knogler og genstande </t>
  </si>
  <si>
    <t>20% rabat ved 100+ prøver</t>
  </si>
  <si>
    <t>Max. 5 L jord. Til screening af insekter, smedeskæl osv.</t>
  </si>
  <si>
    <t>Opstart for datering</t>
  </si>
  <si>
    <t xml:space="preserve">Mikro CT-scanning </t>
  </si>
  <si>
    <t>Tur-retur mellem Moesgård og lokalitet</t>
  </si>
  <si>
    <t>Ved feltarbejde</t>
  </si>
  <si>
    <t>Max. 5 liters jordprøve</t>
  </si>
  <si>
    <t>F.eks. ved adskillelse af arkæologiske fund fra makrofossiler og prøver i stofposer, hvor ompakning er nødvendig</t>
  </si>
  <si>
    <t>Ekskl. rapport. Inkluderer bestemmelse af op til 30 stk. trækul. Identifikationsantallet er med forbehold i bevarings- og fragmentationsgrad</t>
  </si>
  <si>
    <t>Typisk ekspeditionstid 8-12 måneder</t>
  </si>
  <si>
    <t>Typisk ekspeditionstid 1-2 måneder</t>
  </si>
  <si>
    <t>Se prøveudtagning/feltarbejde under KONSULENTSERVICE</t>
  </si>
  <si>
    <t>Kontakt afdelingen (Tlf. 87 39 40 41)</t>
  </si>
  <si>
    <t>&gt;2kg (Kontakt afdelingen, tlf. 87 39 40 41)</t>
  </si>
  <si>
    <t>Stort præparat (f.eks. urne, sværd)</t>
  </si>
  <si>
    <t>Lille præparat (f.eks. kniv, fibel)</t>
  </si>
  <si>
    <t>1. genstand</t>
  </si>
  <si>
    <t>Efterfølgende genstande</t>
  </si>
  <si>
    <t>Præparat med enkelt genstand</t>
  </si>
  <si>
    <t>Urne eller præparat med flere genstande. Kontakt afdelingen (tlf. 87 39 40 44)</t>
  </si>
  <si>
    <t>Fritlagt genstand</t>
  </si>
  <si>
    <t>Urne eller præparat med flere genstande</t>
  </si>
  <si>
    <t>Kontakt afdelingen (tlf. 87 39 40 44)</t>
  </si>
  <si>
    <t>CT-SCANNING</t>
  </si>
  <si>
    <t>Artsbestemmelse</t>
  </si>
  <si>
    <t>Henvendelse til Arkæologisk IT (tlf. 87 16 21 76) vedr. priser på feltarbejde, genstande eller præparater</t>
  </si>
  <si>
    <t>Af læder og hud</t>
  </si>
  <si>
    <t>Af tekstil og pels</t>
  </si>
  <si>
    <t>Metalidentifikation</t>
  </si>
  <si>
    <t>Glasperle</t>
  </si>
  <si>
    <t>1-3. stk.</t>
  </si>
  <si>
    <t>Ravperle</t>
  </si>
  <si>
    <t>pr. kar</t>
  </si>
  <si>
    <t>Ben og tak (tørt)</t>
  </si>
  <si>
    <t xml:space="preserve">Fibel, ukompliceret </t>
  </si>
  <si>
    <t>Ubrændt ler</t>
  </si>
  <si>
    <t>Jern</t>
  </si>
  <si>
    <t>Bly</t>
  </si>
  <si>
    <t>FRYSETØRRING</t>
  </si>
  <si>
    <t>STABILISERENDE KONSERVERING</t>
  </si>
  <si>
    <t>Fibel, ukompliceret</t>
  </si>
  <si>
    <t>Udgravning af urne med knogler og genstande. Kontakt afdelingen (tlf. 87 39 40 44)</t>
  </si>
  <si>
    <t>Fx trægenstande ifbm. dendrokronologi (ekskl. 1 times transport)</t>
  </si>
  <si>
    <t>Typisk ekspeditionstid 3-4 måneder</t>
  </si>
  <si>
    <t>Typisk ekspeditionstid 3-4 uger</t>
  </si>
  <si>
    <t xml:space="preserve">Startgebyr pr. ny sag </t>
  </si>
  <si>
    <t xml:space="preserve">      Startgebyr ekskluderes (forsættelse af sag)</t>
  </si>
  <si>
    <t>Bemærkninger</t>
  </si>
  <si>
    <t>Indeksreguleret til timepris 665.</t>
  </si>
  <si>
    <t>Tilføjet mulighed for at fjerne startgebyr ved fortsættelse af sager.</t>
  </si>
  <si>
    <t>Fil er nu gemt i mappe kaldet "Aktuel prisliste" med generisk titel "Priser Konservering &amp; Naturvidenskab (låst)". Ved næste opdatering udskiftes filen men samme navn benyttes så genvejene forhåbentlig ikke brydes.</t>
  </si>
  <si>
    <t>Opdateringer</t>
  </si>
  <si>
    <t>Kursorisk vedgennemsyn</t>
  </si>
  <si>
    <t>Efterfølgende prøver/genstande</t>
  </si>
  <si>
    <t>1. prøve/genstand</t>
  </si>
  <si>
    <t>Udtagning af materiale, forsendelse og tolkning af resultater</t>
  </si>
  <si>
    <t>Analyse (eksternt laboratorie)</t>
  </si>
  <si>
    <t>Lipidanalyser (konservering) er rattet jf. Helles analysebeskrivelse</t>
  </si>
  <si>
    <t>POST</t>
  </si>
  <si>
    <t>KOMMENTAR / BESKRIVELSE</t>
  </si>
  <si>
    <t>PRØVETYPE</t>
  </si>
  <si>
    <t>PRIS EX. MOMS (kr.)</t>
  </si>
  <si>
    <t>DATO</t>
  </si>
  <si>
    <t>JOURNAL NR.</t>
  </si>
  <si>
    <t>SAMLET PRIS FOR NATURVIDENSKAB</t>
  </si>
  <si>
    <t>SAMLET</t>
  </si>
  <si>
    <t>KATEGORI</t>
  </si>
  <si>
    <t>PRØVETYPE / KOMMENTAR</t>
  </si>
  <si>
    <t>PRIS PR. ENHED</t>
  </si>
  <si>
    <t>ANTAL</t>
  </si>
  <si>
    <t>PRIS EX. MOMS</t>
  </si>
  <si>
    <t>PRIS INKL. MOMS</t>
  </si>
  <si>
    <t>Alt Materialeanlyse fjernes fra priser</t>
  </si>
  <si>
    <t>Farver opdateres til Moesgaard farvepaletten og der tilføjer Moesgaard logo</t>
  </si>
  <si>
    <t xml:space="preserve"> Skemaet kan benyttes til at udregne priser og skabe overblik over naturvidenskablige undersøgelser ifm. ansøgninger til Slots- og Kulturstyrelsen. </t>
  </si>
  <si>
    <t>PRISLISTE NATURVIDENSKAB</t>
  </si>
  <si>
    <t>PRISLISTE KONSERVERING</t>
  </si>
  <si>
    <t>TIMEANTAL</t>
  </si>
  <si>
    <t>PRIS EX.MOMS (kr.)</t>
  </si>
  <si>
    <t xml:space="preserve">Skemaets beregninger er baseret på priserne fra arket "Prisliste Konservering". </t>
  </si>
  <si>
    <t xml:space="preserve">Skemaet kan benyttes til at udregne priser og skabe overblik over konservering ifm. ansøgninger til Slots- og Kulturstyrelsen. </t>
  </si>
  <si>
    <t>PRISBEREGNER KONSERVERING</t>
  </si>
  <si>
    <t>SAMLET PRIS FOR KONSERVERING</t>
  </si>
  <si>
    <t>Andre udgifter</t>
  </si>
  <si>
    <t>kr.</t>
  </si>
  <si>
    <t>Ønskede ændring lavet. Fx kerneboringer tilføjet, knogler ændret en del.</t>
  </si>
  <si>
    <t>Se PRISLISTE KONS.</t>
  </si>
  <si>
    <t xml:space="preserve"> Skemaets beregninger er baseret på priserne fra arket "PRISLISTE NATURVIDENSKAB". Se dette ark for uddybende kommentarer angående priserne.</t>
  </si>
  <si>
    <t>Kontakt afdelingen: 87 39 40 41</t>
  </si>
  <si>
    <t>Udtagning, forsendelse, og tolkning</t>
  </si>
  <si>
    <t xml:space="preserve">Analyse (eksternt laboratorie): 840 euro (6.300,00 kr.) ex.moms.  </t>
  </si>
  <si>
    <t>Fx urner (ekskl. 1 times transport)</t>
  </si>
  <si>
    <t>Vådt (prøvemængde: 100 ml)</t>
  </si>
  <si>
    <t>Rapport (vedanalyse)</t>
  </si>
  <si>
    <t>10-30 prøver = 16 timer</t>
  </si>
  <si>
    <t>Flere end 30 prøver = 24 timer</t>
  </si>
  <si>
    <t>FORSENDELSE MM.</t>
  </si>
  <si>
    <t>Forsendelse til dateringslab.</t>
  </si>
  <si>
    <t>Sammenskrivning af flere analyser fra én specifik sag/udgravning</t>
  </si>
  <si>
    <t>Uegnede og udaterbare prøver</t>
  </si>
  <si>
    <r>
      <t xml:space="preserve">KONSULENTSERVICE </t>
    </r>
    <r>
      <rPr>
        <sz val="10"/>
        <color theme="0"/>
        <rFont val="MOESGAARD"/>
        <family val="3"/>
      </rPr>
      <t>- Vi anbefaler at ansøge om konsulentservice i forbindelse med budgetplanlægning</t>
    </r>
  </si>
  <si>
    <r>
      <t xml:space="preserve">UDTAGNING TIL 14C-DATERING </t>
    </r>
    <r>
      <rPr>
        <sz val="10"/>
        <color theme="0"/>
        <rFont val="MOESGAARD"/>
        <family val="3"/>
      </rPr>
      <t>- OBS! Ved flere end 100 udtagninger til 14C-datering fra samme sag gives 20 % rabat</t>
    </r>
  </si>
  <si>
    <t>Ved pakker &gt;2 kg: Kontakt afdelingen: 87 39 40 41</t>
  </si>
  <si>
    <t xml:space="preserve">Ved rekommanderet forsendelse af prøver inden for Europa </t>
  </si>
  <si>
    <t>Typisk ekspeditionstid 8-12 uger</t>
  </si>
  <si>
    <t>Typisk ekspeditionstid 2-3 uger</t>
  </si>
  <si>
    <t>(ekskl. forsendelse)</t>
  </si>
  <si>
    <t>Inkl. grundlæggende rapport, prøvevurdering og bestemmelse af 10 stykker trækul</t>
  </si>
  <si>
    <r>
      <rPr>
        <sz val="10"/>
        <color theme="0"/>
        <rFont val="MOESGAARD"/>
        <family val="3"/>
      </rPr>
      <t xml:space="preserve"> I de </t>
    </r>
    <r>
      <rPr>
        <sz val="10"/>
        <color theme="1" tint="0.499984740745262"/>
        <rFont val="MOESGAARD"/>
        <family val="3"/>
      </rPr>
      <t>gule</t>
    </r>
    <r>
      <rPr>
        <sz val="10"/>
        <color rgb="FFFFFFFF"/>
        <rFont val="MOESGAARD"/>
        <family val="3"/>
      </rPr>
      <t xml:space="preserve"> felter i kolonne E indtastes det ønskede/forventede antal af de relevante ydelser for den givne lokalitet. Alle priser er vejledende. </t>
    </r>
  </si>
  <si>
    <r>
      <t>STABILISERENDE KONSERVERING</t>
    </r>
    <r>
      <rPr>
        <sz val="10"/>
        <color theme="0"/>
        <rFont val="MOESGAARD"/>
        <family val="3"/>
      </rPr>
      <t xml:space="preserve"> - Vejledende priser for typiske eksempler (inkluderer 1,5 time til opstart, modtagelse, pakning, tilbud- og rapportskrivning)
Alle genstande pakkes i syrefrie materialer til længerevarende opmagasinering eller efter behov til transport med medfølgende rapport om observationer og klimaanbefalinger</t>
    </r>
  </si>
  <si>
    <r>
      <rPr>
        <sz val="10"/>
        <color theme="0"/>
        <rFont val="MOESGAARD"/>
        <family val="3"/>
      </rPr>
      <t xml:space="preserve">I de </t>
    </r>
    <r>
      <rPr>
        <sz val="10"/>
        <color theme="1" tint="0.499984740745262"/>
        <rFont val="MOESGAARD"/>
        <family val="3"/>
      </rPr>
      <t>gule</t>
    </r>
    <r>
      <rPr>
        <sz val="10"/>
        <color rgb="FFFFFFFF"/>
        <rFont val="MOESGAARD"/>
        <family val="3"/>
      </rPr>
      <t xml:space="preserve"> felter i kolonne E indtastes det ønskede/forventede antal af de relevante ydelser for den givne lokalitet. </t>
    </r>
  </si>
  <si>
    <t>5 stk. Kontakt afdelingen (tlf. 87 39 40 44)</t>
  </si>
  <si>
    <t>Forkullet træ</t>
  </si>
  <si>
    <t>Stabilisering med lim af forkullet træ i præparat/kokon (til fx dendrokronologi)</t>
  </si>
  <si>
    <t>Til fx dendrokronologisk datering</t>
  </si>
  <si>
    <t>Returnering af prøver til museet</t>
  </si>
  <si>
    <t>Borekerne</t>
  </si>
  <si>
    <t>Fx læder og hud, tekstil og pels, metalidentifikation og lipidanalyse</t>
  </si>
  <si>
    <t>Udtagning af 2 prøver fra et emne</t>
  </si>
  <si>
    <t xml:space="preserve">Udtagning af 3 prøver fra et emne </t>
  </si>
  <si>
    <t xml:space="preserve">Udtagning af 4 eller flere prøver fra et emne </t>
  </si>
  <si>
    <t>2 udt. fra ét emne</t>
  </si>
  <si>
    <t>3 udt. fra ét emne</t>
  </si>
  <si>
    <t>4 eller flere udt. fra ét emne</t>
  </si>
  <si>
    <t>emner/prøver</t>
  </si>
  <si>
    <t>Konserveringsgenstande</t>
  </si>
  <si>
    <t>Ikke-konserveringsemner</t>
  </si>
  <si>
    <t>Identifikation og bearbejdningsspor</t>
  </si>
  <si>
    <t>Vedbestemmsle, beskrivelse af tømmer og evt. bearbejdningsspor</t>
  </si>
  <si>
    <t>Identifikation</t>
  </si>
  <si>
    <t xml:space="preserve">Vedbestemmsle, beskrivelse af tømmer </t>
  </si>
  <si>
    <t>Strategimøde (telefonisk/i felten)</t>
  </si>
  <si>
    <t>(efter aftale)</t>
  </si>
  <si>
    <t>Max. 5 liters jordprøve. Soldning til f.eks. screening af makrofossiler, insekter og smedeskæl</t>
  </si>
  <si>
    <t>F.eks. via videoopkald</t>
  </si>
  <si>
    <t>Fx overnatning, følger statens takster</t>
  </si>
  <si>
    <t xml:space="preserve">Kontakt afdelingen </t>
  </si>
  <si>
    <t xml:space="preserve">Forsendelse </t>
  </si>
  <si>
    <t>Prøver kasseres/returneres efter undersøgelse</t>
  </si>
  <si>
    <t>Kontakt afdelingen: 87 39 40 44</t>
  </si>
  <si>
    <t>PRISBEREGNER NATURVIDENSKAB</t>
  </si>
  <si>
    <t xml:space="preserve"> Priser gældende fra oktober 2026. Fra 2022 og frem indeksreguleres timeprisen halvårligt den 1/4 og 1/10. 
 Man er altid velkommen til (omkostningsfrit) at ringe til afdelingen med sprøgsmål. 
 Alle priser er vejledende. Ret til ændringer forbeholdes.</t>
  </si>
  <si>
    <r>
      <t xml:space="preserve"> Priser gældende fra oktober 2026. Fra 2022 og frem indeksreguleres timeprisen halvårligt den 1/4 og 1/10. 
 Alle priser er vejledende og afspejler kun </t>
    </r>
    <r>
      <rPr>
        <u/>
        <sz val="10"/>
        <color rgb="FFFFFFFF"/>
        <rFont val="MOESGAARD"/>
        <family val="3"/>
      </rPr>
      <t>gennemsnitsprisen</t>
    </r>
    <r>
      <rPr>
        <sz val="10"/>
        <color rgb="FFFFFFFF"/>
        <rFont val="MOESGAARD"/>
        <family val="3"/>
      </rPr>
      <t xml:space="preserve"> for en enkelt genstand. Fragmenteringsgraden vil have yderligere indflydelse på prisen. 
 Ved flere ensartede genstande vil prisen være reduceret. Man er altid velkommen til (omkostningsfrit) at ringe til afdelingen med sprøgsmål. 
 Ret til ændringer forbeholdes.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</si>
</sst>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4" formatCode="_-* #,##0.00\ &quot;kr.&quot;_-;\-* #,##0.00\ &quot;kr.&quot;_-;_-* &quot;-&quot;??\ &quot;kr.&quot;_-;_-@_-"/>
    <numFmt numFmtId="43" formatCode="_-* #,##0.00_-;\-* #,##0.00_-;_-* &quot;-&quot;??_-;_-@_-"/>
    <numFmt numFmtId="164" formatCode="#,##0.00\ &quot;kr.&quot;"/>
    <numFmt numFmtId="165" formatCode="_-* #,##0.00\ _k_r_._-;\-* #,##0.00\ _k_r_._-;_-* &quot;-&quot;??\ _k_r_._-;_-@_-"/>
  </numFmts>
  <fonts count="44" x14ac:knownFonts="1">
    <font>
      <sz val="10"/>
      <name val="Arial"/>
      <family val="2"/>
    </font>
    <font>
      <sz val="11"/>
      <color theme="1"/>
      <name val="Calibri"/>
      <family val="2"/>
      <scheme val="minor"/>
    </font>
    <font>
      <b/>
      <sz val="10"/>
      <name val="Arial"/>
      <family val="2"/>
    </font>
    <font>
      <u/>
      <sz val="10"/>
      <color theme="10"/>
      <name val="Arial"/>
      <family val="2"/>
    </font>
    <font>
      <sz val="12"/>
      <color theme="0"/>
      <name val="MOESGAARD"/>
      <family val="3"/>
    </font>
    <font>
      <b/>
      <sz val="11"/>
      <name val="MOESGAARD"/>
      <family val="3"/>
    </font>
    <font>
      <sz val="10"/>
      <name val="MOESGAARD"/>
      <family val="3"/>
    </font>
    <font>
      <sz val="14"/>
      <color theme="0"/>
      <name val="MOESGAARD"/>
      <family val="3"/>
    </font>
    <font>
      <sz val="10"/>
      <color theme="0"/>
      <name val="MOESGAARD"/>
      <family val="3"/>
    </font>
    <font>
      <sz val="11"/>
      <color theme="0"/>
      <name val="MOESGAARD"/>
      <family val="3"/>
    </font>
    <font>
      <sz val="10"/>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7"/>
      <name val="MOESGAARD"/>
      <family val="3"/>
    </font>
    <font>
      <sz val="10"/>
      <color theme="0"/>
      <name val="Arial"/>
      <family val="2"/>
    </font>
    <font>
      <sz val="20"/>
      <color theme="0"/>
      <name val="MOESGAARD"/>
      <family val="3"/>
    </font>
    <font>
      <sz val="10"/>
      <color theme="0"/>
      <name val="Calibri"/>
      <family val="2"/>
      <scheme val="minor"/>
    </font>
    <font>
      <sz val="14"/>
      <color rgb="FFFFFFFF"/>
      <name val="MOESGAARD"/>
      <family val="3"/>
    </font>
    <font>
      <sz val="22"/>
      <color theme="0"/>
      <name val="MOESGAARD"/>
      <family val="3"/>
    </font>
    <font>
      <sz val="10"/>
      <color theme="1" tint="0.499984740745262"/>
      <name val="MOESGAARD"/>
      <family val="3"/>
    </font>
    <font>
      <sz val="10"/>
      <color rgb="FFFFFFFF"/>
      <name val="MOESGAARD"/>
      <family val="3"/>
    </font>
    <font>
      <sz val="18"/>
      <color theme="3" tint="-0.499984740745262"/>
      <name val="MOESGAARD"/>
      <family val="3"/>
    </font>
    <font>
      <b/>
      <sz val="10"/>
      <name val="MOESGAARD"/>
      <family val="3"/>
    </font>
    <font>
      <sz val="10"/>
      <color theme="0" tint="-4.9989318521683403E-2"/>
      <name val="MOESGAARD"/>
      <family val="3"/>
    </font>
    <font>
      <sz val="10"/>
      <color theme="2" tint="-0.499984740745262"/>
      <name val="MOESGAARD"/>
      <family val="3"/>
    </font>
    <font>
      <u/>
      <sz val="10"/>
      <color rgb="FFFFFFFF"/>
      <name val="MOESGAARD"/>
      <family val="3"/>
    </font>
    <font>
      <b/>
      <sz val="12"/>
      <color rgb="FFFFFFFF"/>
      <name val="MOESGAARD"/>
      <family val="3"/>
    </font>
    <font>
      <sz val="10"/>
      <color rgb="FFFF0000"/>
      <name val="MOESGAARD"/>
      <family val="3"/>
    </font>
    <font>
      <sz val="10"/>
      <color theme="1"/>
      <name val="MOESGAARD"/>
      <family val="3"/>
    </font>
    <font>
      <sz val="10"/>
      <color rgb="FFFF0000"/>
      <name val="Arial"/>
      <family val="2"/>
    </font>
  </fonts>
  <fills count="4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249977111117893"/>
        <bgColor indexed="64"/>
      </patternFill>
    </fill>
    <fill>
      <patternFill patternType="solid">
        <fgColor theme="3" tint="-0.249977111117893"/>
        <bgColor rgb="FF008080"/>
      </patternFill>
    </fill>
    <fill>
      <patternFill patternType="solid">
        <fgColor theme="0" tint="-4.9989318521683403E-2"/>
        <bgColor rgb="FF008080"/>
      </patternFill>
    </fill>
    <fill>
      <patternFill patternType="solid">
        <fgColor theme="0" tint="-0.14999847407452621"/>
        <bgColor rgb="FF008080"/>
      </patternFill>
    </fill>
    <fill>
      <patternFill patternType="solid">
        <fgColor theme="3" tint="0.79998168889431442"/>
        <bgColor indexed="64"/>
      </patternFill>
    </fill>
    <fill>
      <patternFill patternType="solid">
        <fgColor theme="1" tint="0.499984740745262"/>
        <bgColor indexed="64"/>
      </patternFill>
    </fill>
    <fill>
      <patternFill patternType="solid">
        <fgColor theme="1" tint="0.499984740745262"/>
        <bgColor rgb="FF969696"/>
      </patternFill>
    </fill>
    <fill>
      <patternFill patternType="solid">
        <fgColor theme="1" tint="0.89999084444715716"/>
        <bgColor indexed="64"/>
      </patternFill>
    </fill>
    <fill>
      <patternFill patternType="solid">
        <fgColor theme="2" tint="-0.499984740745262"/>
        <bgColor indexed="64"/>
      </patternFill>
    </fill>
    <fill>
      <patternFill patternType="solid">
        <fgColor theme="2" tint="-0.499984740745262"/>
        <bgColor rgb="FF008080"/>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5"/>
      </left>
      <right style="thin">
        <color theme="5"/>
      </right>
      <top style="thin">
        <color theme="5"/>
      </top>
      <bottom/>
      <diagonal/>
    </border>
    <border>
      <left style="thin">
        <color theme="5"/>
      </left>
      <right style="thin">
        <color theme="5"/>
      </right>
      <top/>
      <bottom style="thin">
        <color theme="5"/>
      </bottom>
      <diagonal/>
    </border>
    <border>
      <left/>
      <right/>
      <top/>
      <bottom style="thin">
        <color theme="3"/>
      </bottom>
      <diagonal/>
    </border>
  </borders>
  <cellStyleXfs count="52">
    <xf numFmtId="0" fontId="0" fillId="0" borderId="0"/>
    <xf numFmtId="0" fontId="3" fillId="0" borderId="0" applyNumberFormat="0" applyFill="0" applyBorder="0" applyAlignment="0" applyProtection="0"/>
    <xf numFmtId="43" fontId="10" fillId="0" borderId="0" applyFont="0" applyFill="0" applyBorder="0" applyAlignment="0" applyProtection="0"/>
    <xf numFmtId="44" fontId="6" fillId="0" borderId="0" applyFill="0" applyBorder="0" applyAlignment="0" applyProtection="0"/>
    <xf numFmtId="0" fontId="11" fillId="0" borderId="0" applyNumberFormat="0" applyFill="0" applyBorder="0" applyAlignment="0" applyProtection="0"/>
    <xf numFmtId="0" fontId="12" fillId="0" borderId="1" applyNumberFormat="0" applyFill="0" applyAlignment="0" applyProtection="0"/>
    <xf numFmtId="0" fontId="13" fillId="0" borderId="2" applyNumberFormat="0" applyFill="0" applyAlignment="0" applyProtection="0"/>
    <xf numFmtId="0" fontId="14" fillId="0" borderId="3" applyNumberFormat="0" applyFill="0" applyAlignment="0" applyProtection="0"/>
    <xf numFmtId="0" fontId="14" fillId="0" borderId="0" applyNumberFormat="0" applyFill="0" applyBorder="0" applyAlignment="0" applyProtection="0"/>
    <xf numFmtId="0" fontId="15" fillId="5" borderId="0" applyNumberFormat="0" applyBorder="0" applyAlignment="0" applyProtection="0"/>
    <xf numFmtId="0" fontId="16" fillId="6" borderId="0" applyNumberFormat="0" applyBorder="0" applyAlignment="0" applyProtection="0"/>
    <xf numFmtId="0" fontId="17" fillId="7" borderId="0" applyNumberFormat="0" applyBorder="0" applyAlignment="0" applyProtection="0"/>
    <xf numFmtId="0" fontId="18" fillId="8" borderId="4" applyNumberFormat="0" applyAlignment="0" applyProtection="0"/>
    <xf numFmtId="0" fontId="19" fillId="9" borderId="5" applyNumberFormat="0" applyAlignment="0" applyProtection="0"/>
    <xf numFmtId="0" fontId="20" fillId="9" borderId="4" applyNumberFormat="0" applyAlignment="0" applyProtection="0"/>
    <xf numFmtId="0" fontId="21" fillId="0" borderId="6" applyNumberFormat="0" applyFill="0" applyAlignment="0" applyProtection="0"/>
    <xf numFmtId="0" fontId="22" fillId="10" borderId="7" applyNumberFormat="0" applyAlignment="0" applyProtection="0"/>
    <xf numFmtId="0" fontId="23" fillId="0" borderId="0" applyNumberFormat="0" applyFill="0" applyBorder="0" applyAlignment="0" applyProtection="0"/>
    <xf numFmtId="0" fontId="10" fillId="11" borderId="8" applyNumberFormat="0" applyFont="0" applyAlignment="0" applyProtection="0"/>
    <xf numFmtId="0" fontId="24" fillId="0" borderId="0" applyNumberFormat="0" applyFill="0" applyBorder="0" applyAlignment="0" applyProtection="0"/>
    <xf numFmtId="0" fontId="25" fillId="0" borderId="9" applyNumberFormat="0" applyFill="0" applyAlignment="0" applyProtection="0"/>
    <xf numFmtId="0" fontId="26"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6"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6"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6"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6"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6"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164" fontId="27" fillId="37" borderId="0">
      <alignment horizontal="right"/>
    </xf>
    <xf numFmtId="0" fontId="5" fillId="2" borderId="0">
      <alignment horizontal="left" vertical="center" wrapText="1"/>
    </xf>
    <xf numFmtId="0" fontId="7" fillId="36" borderId="0">
      <alignment horizontal="left"/>
    </xf>
    <xf numFmtId="0" fontId="6" fillId="2" borderId="0">
      <alignment horizontal="left" vertical="top"/>
    </xf>
    <xf numFmtId="0" fontId="6" fillId="3" borderId="0">
      <alignment horizontal="left" vertical="top"/>
    </xf>
    <xf numFmtId="0" fontId="5" fillId="40" borderId="0"/>
    <xf numFmtId="43" fontId="10" fillId="0" borderId="0" applyFont="0" applyFill="0" applyBorder="0" applyAlignment="0" applyProtection="0"/>
  </cellStyleXfs>
  <cellXfs count="119">
    <xf numFmtId="0" fontId="0" fillId="0" borderId="0" xfId="0"/>
    <xf numFmtId="0" fontId="2" fillId="4" borderId="0" xfId="0" applyFont="1" applyFill="1"/>
    <xf numFmtId="14" fontId="0" fillId="0" borderId="0" xfId="0" applyNumberFormat="1"/>
    <xf numFmtId="0" fontId="5" fillId="2" borderId="0" xfId="46">
      <alignment horizontal="left" vertical="center" wrapText="1"/>
    </xf>
    <xf numFmtId="0" fontId="6" fillId="2" borderId="0" xfId="48">
      <alignment horizontal="left" vertical="top"/>
    </xf>
    <xf numFmtId="0" fontId="6" fillId="3" borderId="0" xfId="49">
      <alignment horizontal="left" vertical="top"/>
    </xf>
    <xf numFmtId="14" fontId="6" fillId="39" borderId="11" xfId="0" applyNumberFormat="1" applyFont="1" applyFill="1" applyBorder="1" applyAlignment="1" applyProtection="1">
      <alignment horizontal="left" vertical="center"/>
      <protection locked="0"/>
    </xf>
    <xf numFmtId="14" fontId="6" fillId="38" borderId="10" xfId="0" applyNumberFormat="1" applyFont="1" applyFill="1" applyBorder="1" applyProtection="1">
      <protection locked="0"/>
    </xf>
    <xf numFmtId="0" fontId="5" fillId="40" borderId="0" xfId="50"/>
    <xf numFmtId="44" fontId="6" fillId="2" borderId="0" xfId="3" applyFill="1" applyAlignment="1">
      <alignment horizontal="left" vertical="top"/>
    </xf>
    <xf numFmtId="44" fontId="6" fillId="3" borderId="0" xfId="3" applyFill="1" applyAlignment="1">
      <alignment horizontal="left" vertical="top"/>
    </xf>
    <xf numFmtId="0" fontId="6" fillId="3" borderId="0" xfId="49" applyAlignment="1">
      <alignment horizontal="right" vertical="top"/>
    </xf>
    <xf numFmtId="0" fontId="6" fillId="2" borderId="0" xfId="48" applyAlignment="1">
      <alignment horizontal="right" vertical="top"/>
    </xf>
    <xf numFmtId="164" fontId="6" fillId="2" borderId="0" xfId="51" applyNumberFormat="1" applyFont="1" applyFill="1" applyBorder="1" applyAlignment="1" applyProtection="1">
      <alignment horizontal="left"/>
    </xf>
    <xf numFmtId="43" fontId="36" fillId="43" borderId="0" xfId="51" applyFont="1" applyFill="1" applyBorder="1" applyAlignment="1" applyProtection="1">
      <alignment horizontal="right"/>
    </xf>
    <xf numFmtId="0" fontId="5" fillId="2" borderId="0" xfId="46" applyAlignment="1">
      <alignment horizontal="right" vertical="center" wrapText="1"/>
    </xf>
    <xf numFmtId="0" fontId="28" fillId="36" borderId="0" xfId="0" applyFont="1" applyFill="1"/>
    <xf numFmtId="0" fontId="29" fillId="37" borderId="0" xfId="0" applyFont="1" applyFill="1"/>
    <xf numFmtId="0" fontId="30" fillId="36" borderId="0" xfId="0" applyFont="1" applyFill="1" applyAlignment="1">
      <alignment horizontal="left" vertical="center"/>
    </xf>
    <xf numFmtId="0" fontId="31" fillId="37" borderId="0" xfId="0" applyFont="1" applyFill="1"/>
    <xf numFmtId="0" fontId="31" fillId="37" borderId="0" xfId="0" applyFont="1" applyFill="1" applyAlignment="1">
      <alignment horizontal="right"/>
    </xf>
    <xf numFmtId="0" fontId="9" fillId="37" borderId="0" xfId="0" applyFont="1" applyFill="1" applyAlignment="1">
      <alignment vertical="center" wrapText="1"/>
    </xf>
    <xf numFmtId="0" fontId="4" fillId="37" borderId="0" xfId="0" applyFont="1" applyFill="1" applyAlignment="1">
      <alignment horizontal="left"/>
    </xf>
    <xf numFmtId="0" fontId="32" fillId="37" borderId="0" xfId="0" applyFont="1" applyFill="1" applyAlignment="1">
      <alignment vertical="center"/>
    </xf>
    <xf numFmtId="164" fontId="27" fillId="37" borderId="0" xfId="0" applyNumberFormat="1" applyFont="1" applyFill="1" applyAlignment="1">
      <alignment horizontal="right"/>
    </xf>
    <xf numFmtId="0" fontId="5" fillId="2" borderId="0" xfId="0" applyFont="1" applyFill="1" applyAlignment="1">
      <alignment horizontal="left" vertical="center" wrapText="1"/>
    </xf>
    <xf numFmtId="0" fontId="7" fillId="36" borderId="0" xfId="47">
      <alignment horizontal="left"/>
    </xf>
    <xf numFmtId="0" fontId="7" fillId="36" borderId="0" xfId="0" applyFont="1" applyFill="1" applyAlignment="1">
      <alignment wrapText="1"/>
    </xf>
    <xf numFmtId="0" fontId="6" fillId="2" borderId="0" xfId="48" applyAlignment="1">
      <alignment horizontal="left" vertical="center" wrapText="1"/>
    </xf>
    <xf numFmtId="44" fontId="6" fillId="2" borderId="0" xfId="3" applyFill="1" applyAlignment="1" applyProtection="1">
      <alignment horizontal="left" vertical="center"/>
    </xf>
    <xf numFmtId="0" fontId="6" fillId="3" borderId="0" xfId="49" applyAlignment="1">
      <alignment horizontal="left" vertical="center" wrapText="1"/>
    </xf>
    <xf numFmtId="44" fontId="6" fillId="3" borderId="0" xfId="3" applyFill="1" applyAlignment="1" applyProtection="1">
      <alignment horizontal="left" vertical="center"/>
    </xf>
    <xf numFmtId="0" fontId="6" fillId="3" borderId="0" xfId="49" applyAlignment="1">
      <alignment horizontal="left" vertical="center"/>
    </xf>
    <xf numFmtId="0" fontId="7" fillId="36" borderId="0" xfId="47" applyAlignment="1">
      <alignment horizontal="left" wrapText="1"/>
    </xf>
    <xf numFmtId="0" fontId="8" fillId="36" borderId="0" xfId="47" applyFont="1">
      <alignment horizontal="left"/>
    </xf>
    <xf numFmtId="44" fontId="8" fillId="36" borderId="0" xfId="3" applyFont="1" applyFill="1" applyAlignment="1" applyProtection="1">
      <alignment horizontal="left"/>
    </xf>
    <xf numFmtId="44" fontId="6" fillId="2" borderId="0" xfId="3" applyFill="1" applyAlignment="1" applyProtection="1">
      <alignment horizontal="left" vertical="top"/>
    </xf>
    <xf numFmtId="44" fontId="6" fillId="3" borderId="0" xfId="3" applyFill="1" applyAlignment="1" applyProtection="1">
      <alignment horizontal="left" vertical="top"/>
    </xf>
    <xf numFmtId="44" fontId="6" fillId="2" borderId="0" xfId="3" applyFill="1" applyAlignment="1" applyProtection="1">
      <alignment horizontal="right" vertical="center"/>
    </xf>
    <xf numFmtId="0" fontId="6" fillId="3" borderId="0" xfId="49" applyAlignment="1">
      <alignment horizontal="left" vertical="top" wrapText="1"/>
    </xf>
    <xf numFmtId="44" fontId="6" fillId="3" borderId="0" xfId="3" applyFill="1" applyAlignment="1" applyProtection="1">
      <alignment horizontal="right" vertical="center"/>
    </xf>
    <xf numFmtId="0" fontId="8" fillId="36" borderId="0" xfId="47" applyFont="1" applyAlignment="1">
      <alignment horizontal="right"/>
    </xf>
    <xf numFmtId="44" fontId="8" fillId="36" borderId="0" xfId="3" applyFont="1" applyFill="1" applyAlignment="1" applyProtection="1">
      <alignment horizontal="right"/>
    </xf>
    <xf numFmtId="0" fontId="0" fillId="36" borderId="0" xfId="0" applyFill="1"/>
    <xf numFmtId="0" fontId="8" fillId="36" borderId="0" xfId="0" applyFont="1" applyFill="1"/>
    <xf numFmtId="0" fontId="6" fillId="36" borderId="0" xfId="0" applyFont="1" applyFill="1"/>
    <xf numFmtId="0" fontId="34" fillId="37" borderId="0" xfId="0" applyFont="1" applyFill="1" applyAlignment="1">
      <alignment horizontal="right" vertical="center"/>
    </xf>
    <xf numFmtId="164" fontId="27" fillId="37" borderId="0" xfId="0" applyNumberFormat="1" applyFont="1" applyFill="1"/>
    <xf numFmtId="164" fontId="27" fillId="36" borderId="0" xfId="3" applyNumberFormat="1" applyFont="1" applyFill="1" applyAlignment="1" applyProtection="1">
      <alignment horizontal="right"/>
    </xf>
    <xf numFmtId="44" fontId="6" fillId="2" borderId="0" xfId="3" applyFill="1" applyAlignment="1" applyProtection="1">
      <alignment horizontal="right" vertical="top"/>
    </xf>
    <xf numFmtId="165" fontId="6" fillId="2" borderId="0" xfId="3" applyNumberFormat="1" applyFill="1" applyAlignment="1" applyProtection="1">
      <alignment horizontal="left" vertical="top"/>
    </xf>
    <xf numFmtId="44" fontId="6" fillId="3" borderId="0" xfId="3" applyFill="1" applyAlignment="1" applyProtection="1">
      <alignment horizontal="right" vertical="top"/>
    </xf>
    <xf numFmtId="165" fontId="6" fillId="3" borderId="0" xfId="3" applyNumberFormat="1" applyFill="1" applyAlignment="1" applyProtection="1">
      <alignment horizontal="left" vertical="top"/>
    </xf>
    <xf numFmtId="44" fontId="6" fillId="40" borderId="0" xfId="3" applyFill="1" applyAlignment="1" applyProtection="1">
      <alignment horizontal="right"/>
    </xf>
    <xf numFmtId="0" fontId="5" fillId="40" borderId="0" xfId="50" applyAlignment="1">
      <alignment horizontal="right"/>
    </xf>
    <xf numFmtId="165" fontId="36" fillId="40" borderId="0" xfId="3" applyNumberFormat="1" applyFont="1" applyFill="1" applyProtection="1"/>
    <xf numFmtId="44" fontId="6" fillId="36" borderId="0" xfId="3" applyFill="1" applyAlignment="1" applyProtection="1">
      <alignment horizontal="right"/>
    </xf>
    <xf numFmtId="0" fontId="7" fillId="36" borderId="0" xfId="47" applyAlignment="1">
      <alignment horizontal="right"/>
    </xf>
    <xf numFmtId="44" fontId="6" fillId="36" borderId="0" xfId="3" applyFill="1" applyAlignment="1" applyProtection="1">
      <alignment horizontal="left"/>
    </xf>
    <xf numFmtId="165" fontId="6" fillId="36" borderId="0" xfId="3" applyNumberFormat="1" applyFill="1" applyAlignment="1" applyProtection="1">
      <alignment horizontal="left"/>
    </xf>
    <xf numFmtId="0" fontId="6" fillId="3" borderId="0" xfId="48" applyFill="1">
      <alignment horizontal="left" vertical="top"/>
    </xf>
    <xf numFmtId="0" fontId="35" fillId="42" borderId="0" xfId="0" applyFont="1" applyFill="1" applyAlignment="1">
      <alignment horizontal="left" vertical="center"/>
    </xf>
    <xf numFmtId="0" fontId="6" fillId="2" borderId="0" xfId="0" applyFont="1" applyFill="1"/>
    <xf numFmtId="0" fontId="37" fillId="2" borderId="0" xfId="0" applyFont="1" applyFill="1"/>
    <xf numFmtId="43" fontId="6" fillId="2" borderId="0" xfId="0" applyNumberFormat="1" applyFont="1" applyFill="1" applyAlignment="1">
      <alignment horizontal="left"/>
    </xf>
    <xf numFmtId="0" fontId="38" fillId="2" borderId="0" xfId="0" applyFont="1" applyFill="1"/>
    <xf numFmtId="43" fontId="38" fillId="2" borderId="0" xfId="0" applyNumberFormat="1" applyFont="1" applyFill="1" applyAlignment="1">
      <alignment horizontal="left"/>
    </xf>
    <xf numFmtId="0" fontId="6" fillId="2" borderId="0" xfId="0" applyFont="1" applyFill="1" applyAlignment="1">
      <alignment horizontal="left"/>
    </xf>
    <xf numFmtId="0" fontId="37" fillId="2" borderId="0" xfId="0" applyFont="1" applyFill="1" applyAlignment="1">
      <alignment horizontal="left"/>
    </xf>
    <xf numFmtId="0" fontId="36" fillId="43" borderId="0" xfId="0" applyFont="1" applyFill="1" applyAlignment="1">
      <alignment horizontal="left"/>
    </xf>
    <xf numFmtId="0" fontId="36" fillId="43" borderId="0" xfId="0" applyFont="1" applyFill="1"/>
    <xf numFmtId="0" fontId="6" fillId="41" borderId="0" xfId="48" applyFill="1" applyAlignment="1" applyProtection="1">
      <alignment horizontal="right" vertical="top"/>
      <protection locked="0"/>
    </xf>
    <xf numFmtId="44" fontId="6" fillId="41" borderId="0" xfId="3" applyFill="1" applyAlignment="1" applyProtection="1">
      <alignment horizontal="right" vertical="top"/>
      <protection locked="0"/>
    </xf>
    <xf numFmtId="0" fontId="6" fillId="41" borderId="0" xfId="49" applyFill="1" applyAlignment="1" applyProtection="1">
      <alignment horizontal="right" vertical="top"/>
      <protection locked="0"/>
    </xf>
    <xf numFmtId="0" fontId="6" fillId="2" borderId="0" xfId="48" applyProtection="1">
      <alignment horizontal="left" vertical="top"/>
      <protection locked="0"/>
    </xf>
    <xf numFmtId="0" fontId="0" fillId="44" borderId="0" xfId="0" applyFill="1"/>
    <xf numFmtId="0" fontId="40" fillId="45" borderId="0" xfId="0" applyFont="1" applyFill="1" applyAlignment="1">
      <alignment horizontal="right" vertical="center"/>
    </xf>
    <xf numFmtId="0" fontId="28" fillId="44" borderId="0" xfId="0" applyFont="1" applyFill="1"/>
    <xf numFmtId="0" fontId="29" fillId="45" borderId="0" xfId="0" applyFont="1" applyFill="1"/>
    <xf numFmtId="0" fontId="30" fillId="44" borderId="0" xfId="0" applyFont="1" applyFill="1" applyAlignment="1">
      <alignment horizontal="left" vertical="center"/>
    </xf>
    <xf numFmtId="0" fontId="31" fillId="45" borderId="0" xfId="0" applyFont="1" applyFill="1"/>
    <xf numFmtId="0" fontId="31" fillId="45" borderId="0" xfId="0" applyFont="1" applyFill="1" applyAlignment="1">
      <alignment horizontal="right"/>
    </xf>
    <xf numFmtId="164" fontId="27" fillId="45" borderId="0" xfId="0" applyNumberFormat="1" applyFont="1" applyFill="1" applyAlignment="1">
      <alignment horizontal="right"/>
    </xf>
    <xf numFmtId="0" fontId="4" fillId="45" borderId="0" xfId="0" applyFont="1" applyFill="1" applyAlignment="1">
      <alignment horizontal="left"/>
    </xf>
    <xf numFmtId="0" fontId="7" fillId="44" borderId="0" xfId="47" applyFill="1">
      <alignment horizontal="left"/>
    </xf>
    <xf numFmtId="0" fontId="7" fillId="44" borderId="0" xfId="47" applyFill="1" applyAlignment="1">
      <alignment horizontal="right"/>
    </xf>
    <xf numFmtId="44" fontId="6" fillId="44" borderId="0" xfId="3" applyFill="1" applyAlignment="1">
      <alignment horizontal="left"/>
    </xf>
    <xf numFmtId="165" fontId="6" fillId="42" borderId="0" xfId="3" applyNumberFormat="1" applyFill="1" applyAlignment="1" applyProtection="1">
      <alignment horizontal="left" vertical="center"/>
    </xf>
    <xf numFmtId="164" fontId="27" fillId="44" borderId="0" xfId="3" applyNumberFormat="1" applyFont="1" applyFill="1" applyAlignment="1" applyProtection="1">
      <alignment horizontal="right"/>
    </xf>
    <xf numFmtId="0" fontId="8" fillId="44" borderId="0" xfId="0" applyFont="1" applyFill="1"/>
    <xf numFmtId="0" fontId="6" fillId="44" borderId="0" xfId="0" applyFont="1" applyFill="1"/>
    <xf numFmtId="0" fontId="34" fillId="45" borderId="0" xfId="0" applyFont="1" applyFill="1" applyAlignment="1">
      <alignment horizontal="right" vertical="center"/>
    </xf>
    <xf numFmtId="164" fontId="27" fillId="45" borderId="0" xfId="0" applyNumberFormat="1" applyFont="1" applyFill="1"/>
    <xf numFmtId="44" fontId="6" fillId="40" borderId="0" xfId="3" applyFill="1" applyProtection="1"/>
    <xf numFmtId="44" fontId="6" fillId="44" borderId="0" xfId="3" applyFill="1" applyAlignment="1" applyProtection="1">
      <alignment horizontal="left"/>
    </xf>
    <xf numFmtId="165" fontId="6" fillId="44" borderId="0" xfId="3" applyNumberFormat="1" applyFill="1" applyAlignment="1" applyProtection="1">
      <alignment horizontal="left"/>
    </xf>
    <xf numFmtId="165" fontId="41" fillId="44" borderId="0" xfId="3" applyNumberFormat="1" applyFont="1" applyFill="1" applyAlignment="1" applyProtection="1">
      <alignment horizontal="left"/>
    </xf>
    <xf numFmtId="0" fontId="6" fillId="41" borderId="0" xfId="48" applyFill="1" applyProtection="1">
      <alignment horizontal="left" vertical="top"/>
      <protection locked="0"/>
    </xf>
    <xf numFmtId="0" fontId="6" fillId="41" borderId="0" xfId="49" applyFill="1" applyProtection="1">
      <alignment horizontal="left" vertical="top"/>
      <protection locked="0"/>
    </xf>
    <xf numFmtId="44" fontId="6" fillId="41" borderId="0" xfId="3" applyFill="1" applyAlignment="1" applyProtection="1">
      <alignment horizontal="left" vertical="top"/>
      <protection locked="0"/>
    </xf>
    <xf numFmtId="0" fontId="37" fillId="2" borderId="0" xfId="48" applyFont="1" applyAlignment="1" applyProtection="1">
      <alignment horizontal="right" vertical="top"/>
      <protection locked="0"/>
    </xf>
    <xf numFmtId="0" fontId="42" fillId="2" borderId="0" xfId="0" applyFont="1" applyFill="1"/>
    <xf numFmtId="0" fontId="6" fillId="2" borderId="0" xfId="48" applyAlignment="1">
      <alignment horizontal="left" vertical="center"/>
    </xf>
    <xf numFmtId="0" fontId="6" fillId="3" borderId="0" xfId="48" applyFill="1" applyAlignment="1">
      <alignment vertical="top" wrapText="1"/>
    </xf>
    <xf numFmtId="0" fontId="6" fillId="3" borderId="0" xfId="48" applyFill="1" applyAlignment="1">
      <alignment horizontal="left" vertical="top" wrapText="1"/>
    </xf>
    <xf numFmtId="0" fontId="41" fillId="3" borderId="0" xfId="49" applyFont="1">
      <alignment horizontal="left" vertical="top"/>
    </xf>
    <xf numFmtId="0" fontId="6" fillId="3" borderId="0" xfId="48" applyFill="1" applyAlignment="1">
      <alignment horizontal="right" vertical="top"/>
    </xf>
    <xf numFmtId="0" fontId="6" fillId="2" borderId="12" xfId="48" applyBorder="1">
      <alignment horizontal="left" vertical="top"/>
    </xf>
    <xf numFmtId="0" fontId="6" fillId="2" borderId="12" xfId="48" applyBorder="1" applyAlignment="1">
      <alignment horizontal="left" vertical="center" wrapText="1"/>
    </xf>
    <xf numFmtId="44" fontId="6" fillId="2" borderId="12" xfId="3" applyFill="1" applyBorder="1" applyAlignment="1" applyProtection="1">
      <alignment horizontal="left" vertical="center"/>
    </xf>
    <xf numFmtId="0" fontId="6" fillId="2" borderId="12" xfId="48" applyBorder="1" applyAlignment="1">
      <alignment horizontal="right" vertical="top"/>
    </xf>
    <xf numFmtId="0" fontId="43" fillId="0" borderId="0" xfId="0" applyFont="1"/>
    <xf numFmtId="164" fontId="27" fillId="37" borderId="0" xfId="0" applyNumberFormat="1" applyFont="1" applyFill="1" applyAlignment="1">
      <alignment horizontal="right"/>
    </xf>
    <xf numFmtId="0" fontId="8" fillId="37" borderId="0" xfId="0" applyFont="1" applyFill="1" applyAlignment="1">
      <alignment horizontal="left" vertical="center" wrapText="1"/>
    </xf>
    <xf numFmtId="0" fontId="8" fillId="45" borderId="0" xfId="0" applyFont="1" applyFill="1" applyAlignment="1">
      <alignment horizontal="left" vertical="center" wrapText="1"/>
    </xf>
    <xf numFmtId="0" fontId="7" fillId="44" borderId="0" xfId="47" applyFill="1" applyAlignment="1">
      <alignment horizontal="left" vertical="center" wrapText="1"/>
    </xf>
    <xf numFmtId="164" fontId="27" fillId="45" borderId="0" xfId="0" applyNumberFormat="1" applyFont="1" applyFill="1" applyAlignment="1">
      <alignment horizontal="right"/>
    </xf>
    <xf numFmtId="17" fontId="0" fillId="0" borderId="0" xfId="0" applyNumberFormat="1" applyAlignment="1">
      <alignment horizontal="left" vertical="center"/>
    </xf>
    <xf numFmtId="17" fontId="0" fillId="0" borderId="0" xfId="0" applyNumberFormat="1" applyAlignment="1">
      <alignment horizontal="left" vertical="top"/>
    </xf>
  </cellXfs>
  <cellStyles count="52">
    <cellStyle name="20 % - Farve1" xfId="22" builtinId="30" hidden="1"/>
    <cellStyle name="20 % - Farve2" xfId="26" builtinId="34" hidden="1"/>
    <cellStyle name="20 % - Farve3" xfId="30" builtinId="38" hidden="1"/>
    <cellStyle name="20 % - Farve4" xfId="34" builtinId="42" hidden="1"/>
    <cellStyle name="20 % - Farve5" xfId="38" builtinId="46" hidden="1"/>
    <cellStyle name="20 % - Farve6" xfId="42" builtinId="50" hidden="1"/>
    <cellStyle name="40 % - Farve1" xfId="23" builtinId="31" hidden="1"/>
    <cellStyle name="40 % - Farve2" xfId="27" builtinId="35" hidden="1"/>
    <cellStyle name="40 % - Farve3" xfId="31" builtinId="39" hidden="1"/>
    <cellStyle name="40 % - Farve4" xfId="35" builtinId="43" hidden="1"/>
    <cellStyle name="40 % - Farve5" xfId="39" builtinId="47" hidden="1"/>
    <cellStyle name="40 % - Farve6" xfId="43" builtinId="51" hidden="1"/>
    <cellStyle name="60 % - Farve1" xfId="24" builtinId="32" hidden="1"/>
    <cellStyle name="60 % - Farve2" xfId="28" builtinId="36" hidden="1"/>
    <cellStyle name="60 % - Farve3" xfId="32" builtinId="40" hidden="1"/>
    <cellStyle name="60 % - Farve4" xfId="36" builtinId="44" hidden="1"/>
    <cellStyle name="60 % - Farve5" xfId="40" builtinId="48" hidden="1"/>
    <cellStyle name="60 % - Farve6" xfId="44" builtinId="52" hidden="1"/>
    <cellStyle name="Advarselstekst" xfId="17" builtinId="11" hidden="1"/>
    <cellStyle name="Bemærk!" xfId="18" builtinId="10" hidden="1"/>
    <cellStyle name="Beregning" xfId="14" builtinId="22" hidden="1"/>
    <cellStyle name="Farve1" xfId="21" builtinId="29" hidden="1"/>
    <cellStyle name="Farve2" xfId="25" builtinId="33" hidden="1"/>
    <cellStyle name="Farve3" xfId="29" builtinId="37" hidden="1"/>
    <cellStyle name="Farve4" xfId="33" builtinId="41" hidden="1"/>
    <cellStyle name="Farve5" xfId="37" builtinId="45" hidden="1"/>
    <cellStyle name="Farve6" xfId="41" builtinId="49" hidden="1"/>
    <cellStyle name="Forklarende tekst" xfId="19" builtinId="53" hidden="1"/>
    <cellStyle name="God" xfId="9" builtinId="26" hidden="1"/>
    <cellStyle name="Input" xfId="12" builtinId="20" hidden="1"/>
    <cellStyle name="Komma" xfId="2" builtinId="3" hidden="1"/>
    <cellStyle name="Komma" xfId="51" builtinId="3"/>
    <cellStyle name="Kontrollér celle" xfId="16" builtinId="23" hidden="1"/>
    <cellStyle name="Link" xfId="1" builtinId="8" hidden="1"/>
    <cellStyle name="Neutral" xfId="11" builtinId="28" hidden="1"/>
    <cellStyle name="Normal" xfId="0" builtinId="0"/>
    <cellStyle name="Output" xfId="13" builtinId="21" hidden="1"/>
    <cellStyle name="Overskrift 1" xfId="5" builtinId="16" hidden="1"/>
    <cellStyle name="Overskrift 2" xfId="6" builtinId="17" hidden="1"/>
    <cellStyle name="Overskrift 3" xfId="7" builtinId="18" hidden="1"/>
    <cellStyle name="Overskrift 4" xfId="8" builtinId="19" hidden="1"/>
    <cellStyle name="overskrifter" xfId="46" xr:uid="{A0466AF6-C452-4F41-854F-E452DA38E449}"/>
    <cellStyle name="rubrik" xfId="47" xr:uid="{01BC42F4-1DD0-4913-80B5-B69FA045A180}"/>
    <cellStyle name="SAMLET" xfId="50" xr:uid="{B006501A-EF3D-4B16-B63E-46E4260918D5}"/>
    <cellStyle name="Sammenkædet celle" xfId="15" builtinId="24" hidden="1"/>
    <cellStyle name="TEKSTLYS" xfId="48" xr:uid="{BF043965-4BE3-4681-8BFC-FFCEE597CA33}"/>
    <cellStyle name="TEKSTMØRK" xfId="49" xr:uid="{9FFF28C5-729F-421F-85A3-31A9E87BE3C2}"/>
    <cellStyle name="TIMEPRIS" xfId="45" xr:uid="{BD5445D1-4502-4553-B448-12E6B1B7409D}"/>
    <cellStyle name="Titel" xfId="4" builtinId="15" hidden="1"/>
    <cellStyle name="Total" xfId="20" builtinId="25" hidden="1"/>
    <cellStyle name="Ugyldig" xfId="10" builtinId="27" hidden="1"/>
    <cellStyle name="Valuta" xfId="3" builtinId="4" customBuiltin="1"/>
  </cellStyles>
  <dxfs count="5">
    <dxf>
      <fill>
        <patternFill>
          <bgColor theme="6"/>
        </patternFill>
      </fill>
    </dxf>
    <dxf>
      <fill>
        <patternFill>
          <bgColor theme="2"/>
        </patternFill>
      </fill>
    </dxf>
    <dxf>
      <font>
        <b/>
        <i val="0"/>
      </font>
      <fill>
        <patternFill>
          <bgColor theme="2"/>
        </patternFill>
      </fill>
    </dxf>
    <dxf>
      <border>
        <left style="thin">
          <color auto="1"/>
        </left>
        <right style="thin">
          <color auto="1"/>
        </right>
        <top style="thin">
          <color auto="1"/>
        </top>
        <bottom style="thin">
          <color auto="1"/>
        </bottom>
        <vertical style="thin">
          <color auto="1"/>
        </vertical>
        <horizontal style="thin">
          <color auto="1"/>
        </horizontal>
      </border>
    </dxf>
    <dxf>
      <fill>
        <patternFill>
          <bgColor theme="2"/>
        </patternFill>
      </fill>
    </dxf>
  </dxfs>
  <tableStyles count="3" defaultTableStyle="TableStyleMedium2" defaultPivotStyle="PivotStyleLight16">
    <tableStyle name="Tabeltypografi 1" pivot="0" count="1" xr9:uid="{AF90A622-47CD-457E-9A13-1F2DABD3E456}">
      <tableStyleElement type="secondRowStripe" dxfId="4"/>
    </tableStyle>
    <tableStyle name="Tabeltypografi 1 2" pivot="0" count="2" xr9:uid="{9A02A548-261A-4833-A8CF-E877292C7458}">
      <tableStyleElement type="wholeTable" dxfId="3"/>
      <tableStyleElement type="headerRow" dxfId="2"/>
    </tableStyle>
    <tableStyle name="Tabeltypografi 2" pivot="0" count="2" xr9:uid="{A7B83D50-AECD-4D0E-925F-9065774CAD85}">
      <tableStyleElement type="wholeTable" dxfId="1"/>
      <tableStyleElement type="firstRowStripe" dxfId="0"/>
    </tableStyle>
  </table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58466"/>
      <rgbColor rgb="FFCCCCCC"/>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81D41A"/>
      <rgbColor rgb="FFFFBF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C54343"/>
      <color rgb="FF70AD47"/>
      <color rgb="FFCCFF33"/>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fmlaLink="$E23" lockText="1" noThreeD="1"/>
</file>

<file path=xl/ctrlProps/ctrlProp2.xml><?xml version="1.0" encoding="utf-8"?>
<formControlPr xmlns="http://schemas.microsoft.com/office/spreadsheetml/2009/9/main" objectType="CheckBox" fmlaLink="$E53" lockText="1" noThreeD="1"/>
</file>

<file path=xl/ctrlProps/ctrlProp3.xml><?xml version="1.0" encoding="utf-8"?>
<formControlPr xmlns="http://schemas.microsoft.com/office/spreadsheetml/2009/9/main" objectType="CheckBox" fmlaLink="$E$47" noThreeD="1"/>
</file>

<file path=xl/ctrlProps/ctrlProp4.xml><?xml version="1.0" encoding="utf-8"?>
<formControlPr xmlns="http://schemas.microsoft.com/office/spreadsheetml/2009/9/main" objectType="CheckBox" fmlaLink="$E4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3295650</xdr:colOff>
          <xdr:row>22</xdr:row>
          <xdr:rowOff>0</xdr:rowOff>
        </xdr:from>
        <xdr:to>
          <xdr:col>2</xdr:col>
          <xdr:colOff>257175</xdr:colOff>
          <xdr:row>23</xdr:row>
          <xdr:rowOff>19050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3305175</xdr:colOff>
          <xdr:row>40</xdr:row>
          <xdr:rowOff>9525</xdr:rowOff>
        </xdr:from>
        <xdr:to>
          <xdr:col>2</xdr:col>
          <xdr:colOff>257175</xdr:colOff>
          <xdr:row>41</xdr:row>
          <xdr:rowOff>28575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3305175</xdr:colOff>
          <xdr:row>52</xdr:row>
          <xdr:rowOff>9525</xdr:rowOff>
        </xdr:from>
        <xdr:to>
          <xdr:col>2</xdr:col>
          <xdr:colOff>257175</xdr:colOff>
          <xdr:row>53</xdr:row>
          <xdr:rowOff>28575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1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3305175</xdr:colOff>
          <xdr:row>46</xdr:row>
          <xdr:rowOff>9525</xdr:rowOff>
        </xdr:from>
        <xdr:to>
          <xdr:col>2</xdr:col>
          <xdr:colOff>257175</xdr:colOff>
          <xdr:row>47</xdr:row>
          <xdr:rowOff>28575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1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ema">
  <a:themeElements>
    <a:clrScheme name="MOESGAARD">
      <a:dk1>
        <a:srgbClr val="1B1400"/>
      </a:dk1>
      <a:lt1>
        <a:srgbClr val="FFFFFF"/>
      </a:lt1>
      <a:dk2>
        <a:srgbClr val="B09293"/>
      </a:dk2>
      <a:lt2>
        <a:srgbClr val="DFDCD3"/>
      </a:lt2>
      <a:accent1>
        <a:srgbClr val="ECABA4"/>
      </a:accent1>
      <a:accent2>
        <a:srgbClr val="583459"/>
      </a:accent2>
      <a:accent3>
        <a:srgbClr val="09BC8A"/>
      </a:accent3>
      <a:accent4>
        <a:srgbClr val="FBFEB5"/>
      </a:accent4>
      <a:accent5>
        <a:srgbClr val="1D57F3"/>
      </a:accent5>
      <a:accent6>
        <a:srgbClr val="87A5F9"/>
      </a:accent6>
      <a:hlink>
        <a:srgbClr val="1D57F3"/>
      </a:hlink>
      <a:folHlink>
        <a:srgbClr val="1D57F3"/>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F78C5-BF69-4726-9965-1476A68D22B5}">
  <sheetPr codeName="Ark1">
    <tabColor theme="3" tint="-0.249977111117893"/>
    <pageSetUpPr fitToPage="1"/>
  </sheetPr>
  <dimension ref="A1:M123"/>
  <sheetViews>
    <sheetView showGridLines="0" topLeftCell="A38" zoomScaleNormal="100" zoomScaleSheetLayoutView="50" zoomScalePageLayoutView="70" workbookViewId="0">
      <selection activeCell="B4" sqref="B4:D4"/>
    </sheetView>
  </sheetViews>
  <sheetFormatPr defaultColWidth="0" defaultRowHeight="12.75" zeroHeight="1" x14ac:dyDescent="0.2"/>
  <cols>
    <col min="1" max="1" width="5.7109375" customWidth="1"/>
    <col min="2" max="2" width="35.7109375" customWidth="1"/>
    <col min="3" max="3" width="76.42578125" customWidth="1"/>
    <col min="4" max="4" width="40.5703125" customWidth="1"/>
    <col min="5" max="5" width="22.85546875" bestFit="1" customWidth="1"/>
    <col min="6" max="6" width="21.42578125" customWidth="1"/>
    <col min="7" max="7" width="5.7109375" customWidth="1"/>
    <col min="8" max="8" width="19.7109375" hidden="1" customWidth="1"/>
    <col min="9" max="9" width="15.7109375" hidden="1" customWidth="1"/>
    <col min="10" max="10" width="12" hidden="1" customWidth="1"/>
    <col min="11" max="11" width="74.85546875" hidden="1" customWidth="1"/>
    <col min="12" max="12" width="20.28515625" hidden="1" customWidth="1"/>
    <col min="13" max="13" width="12.7109375" hidden="1" customWidth="1"/>
    <col min="14" max="16384" width="9.140625" hidden="1"/>
  </cols>
  <sheetData>
    <row r="1" spans="2:6" ht="22.5" customHeight="1" x14ac:dyDescent="0.2"/>
    <row r="2" spans="2:6" x14ac:dyDescent="0.2">
      <c r="B2" s="16"/>
      <c r="C2" s="16"/>
      <c r="D2" s="16"/>
      <c r="E2" s="16"/>
      <c r="F2" s="16"/>
    </row>
    <row r="3" spans="2:6" ht="29.25" customHeight="1" x14ac:dyDescent="0.6">
      <c r="B3" s="17" t="s">
        <v>197</v>
      </c>
      <c r="C3" s="17"/>
      <c r="D3" s="18"/>
      <c r="E3" s="19"/>
      <c r="F3" s="20" t="e" vm="1">
        <v>#VALUE!</v>
      </c>
    </row>
    <row r="4" spans="2:6" ht="60" customHeight="1" x14ac:dyDescent="0.2">
      <c r="B4" s="113" t="s">
        <v>263</v>
      </c>
      <c r="C4" s="113"/>
      <c r="D4" s="113"/>
      <c r="E4" s="21"/>
      <c r="F4" s="21"/>
    </row>
    <row r="5" spans="2:6" ht="21.6" customHeight="1" x14ac:dyDescent="0.35">
      <c r="B5" s="22" t="s">
        <v>210</v>
      </c>
      <c r="C5" s="23"/>
      <c r="D5" s="112" t="s">
        <v>57</v>
      </c>
      <c r="E5" s="112"/>
      <c r="F5" s="24">
        <v>750</v>
      </c>
    </row>
    <row r="6" spans="2:6" ht="17.25" x14ac:dyDescent="0.2">
      <c r="B6" s="25" t="s">
        <v>180</v>
      </c>
      <c r="C6" s="3" t="s">
        <v>181</v>
      </c>
      <c r="D6" s="3" t="s">
        <v>182</v>
      </c>
      <c r="E6" s="15" t="s">
        <v>183</v>
      </c>
      <c r="F6" s="15"/>
    </row>
    <row r="7" spans="2:6" ht="22.5" x14ac:dyDescent="0.45">
      <c r="B7" s="26" t="s">
        <v>222</v>
      </c>
      <c r="C7" s="27"/>
      <c r="D7" s="27"/>
      <c r="E7" s="27"/>
      <c r="F7" s="27"/>
    </row>
    <row r="8" spans="2:6" ht="15" x14ac:dyDescent="0.2">
      <c r="B8" s="4" t="s">
        <v>253</v>
      </c>
      <c r="C8" s="28" t="s">
        <v>256</v>
      </c>
      <c r="D8" s="4"/>
      <c r="E8" s="29">
        <f>$F$5</f>
        <v>750</v>
      </c>
      <c r="F8" s="4" t="s">
        <v>29</v>
      </c>
    </row>
    <row r="9" spans="2:6" ht="15" x14ac:dyDescent="0.2">
      <c r="B9" s="5" t="s">
        <v>3</v>
      </c>
      <c r="C9" s="30" t="s">
        <v>39</v>
      </c>
      <c r="D9" s="5"/>
      <c r="E9" s="31">
        <f t="shared" ref="E9" si="0">$F$5</f>
        <v>750</v>
      </c>
      <c r="F9" s="5" t="s">
        <v>29</v>
      </c>
    </row>
    <row r="10" spans="2:6" ht="15" x14ac:dyDescent="0.2">
      <c r="B10" s="4" t="s">
        <v>4</v>
      </c>
      <c r="C10" s="28" t="s">
        <v>126</v>
      </c>
      <c r="D10" s="4"/>
      <c r="E10" s="29">
        <v>3.94</v>
      </c>
      <c r="F10" s="4" t="s">
        <v>30</v>
      </c>
    </row>
    <row r="11" spans="2:6" ht="15" x14ac:dyDescent="0.2">
      <c r="B11" s="5" t="s">
        <v>6</v>
      </c>
      <c r="C11" s="30" t="s">
        <v>127</v>
      </c>
      <c r="D11" s="5"/>
      <c r="E11" s="31">
        <v>100</v>
      </c>
      <c r="F11" s="5" t="s">
        <v>20</v>
      </c>
    </row>
    <row r="12" spans="2:6" ht="15" x14ac:dyDescent="0.2">
      <c r="B12" s="4" t="s">
        <v>205</v>
      </c>
      <c r="C12" s="28" t="s">
        <v>257</v>
      </c>
      <c r="D12" s="4"/>
      <c r="E12" s="29"/>
      <c r="F12" s="12" t="s">
        <v>210</v>
      </c>
    </row>
    <row r="13" spans="2:6" ht="22.5" x14ac:dyDescent="0.45">
      <c r="B13" s="26" t="s">
        <v>27</v>
      </c>
      <c r="C13" s="33"/>
      <c r="D13" s="26"/>
      <c r="E13" s="34"/>
      <c r="F13" s="26"/>
    </row>
    <row r="14" spans="2:6" ht="15" x14ac:dyDescent="0.2">
      <c r="B14" s="4" t="s">
        <v>8</v>
      </c>
      <c r="C14" s="28" t="s">
        <v>128</v>
      </c>
      <c r="D14" s="4"/>
      <c r="E14" s="29">
        <v>471</v>
      </c>
      <c r="F14" s="4" t="s">
        <v>31</v>
      </c>
    </row>
    <row r="15" spans="2:6" ht="15" x14ac:dyDescent="0.2">
      <c r="B15" s="5" t="s">
        <v>109</v>
      </c>
      <c r="C15" s="32" t="s">
        <v>255</v>
      </c>
      <c r="D15" s="5"/>
      <c r="E15" s="31">
        <f>$E$14*5</f>
        <v>2355</v>
      </c>
      <c r="F15" s="5" t="s">
        <v>31</v>
      </c>
    </row>
    <row r="16" spans="2:6" ht="22.5" x14ac:dyDescent="0.45">
      <c r="B16" s="26" t="s">
        <v>26</v>
      </c>
      <c r="C16" s="33"/>
      <c r="D16" s="26"/>
      <c r="E16" s="35"/>
      <c r="F16" s="26"/>
    </row>
    <row r="17" spans="2:6" ht="15" x14ac:dyDescent="0.2">
      <c r="B17" s="4" t="s">
        <v>33</v>
      </c>
      <c r="C17" s="28"/>
      <c r="D17" s="4"/>
      <c r="E17" s="29">
        <f>$F$5*2</f>
        <v>1500</v>
      </c>
      <c r="F17" s="4" t="s">
        <v>32</v>
      </c>
    </row>
    <row r="18" spans="2:6" ht="15" x14ac:dyDescent="0.2">
      <c r="B18" s="5" t="s">
        <v>11</v>
      </c>
      <c r="C18" s="30" t="s">
        <v>165</v>
      </c>
      <c r="D18" s="5" t="s">
        <v>34</v>
      </c>
      <c r="E18" s="31">
        <v>174</v>
      </c>
      <c r="F18" s="5" t="s">
        <v>31</v>
      </c>
    </row>
    <row r="19" spans="2:6" ht="15" x14ac:dyDescent="0.2">
      <c r="B19" s="5"/>
      <c r="C19" s="30"/>
      <c r="D19" s="5" t="s">
        <v>214</v>
      </c>
      <c r="E19" s="31">
        <f>$F$5*2</f>
        <v>1500</v>
      </c>
      <c r="F19" s="5" t="s">
        <v>31</v>
      </c>
    </row>
    <row r="20" spans="2:6" ht="15" x14ac:dyDescent="0.2">
      <c r="B20" s="4" t="s">
        <v>55</v>
      </c>
      <c r="C20" s="28" t="s">
        <v>166</v>
      </c>
      <c r="D20" s="4" t="s">
        <v>34</v>
      </c>
      <c r="E20" s="29">
        <f>$E$18*1.5</f>
        <v>261</v>
      </c>
      <c r="F20" s="4" t="s">
        <v>31</v>
      </c>
    </row>
    <row r="21" spans="2:6" ht="15" x14ac:dyDescent="0.2">
      <c r="B21" s="4" t="s">
        <v>254</v>
      </c>
      <c r="C21" s="28"/>
      <c r="D21" s="4" t="s">
        <v>214</v>
      </c>
      <c r="E21" s="29">
        <f>$E$19*1.5</f>
        <v>2250</v>
      </c>
      <c r="F21" s="4" t="s">
        <v>31</v>
      </c>
    </row>
    <row r="22" spans="2:6" ht="30" x14ac:dyDescent="0.2">
      <c r="B22" s="5" t="s">
        <v>12</v>
      </c>
      <c r="C22" s="30" t="s">
        <v>129</v>
      </c>
      <c r="D22" s="5"/>
      <c r="E22" s="37">
        <v>35</v>
      </c>
      <c r="F22" s="5" t="s">
        <v>31</v>
      </c>
    </row>
    <row r="23" spans="2:6" ht="15" x14ac:dyDescent="0.2">
      <c r="B23" s="4" t="s">
        <v>13</v>
      </c>
      <c r="C23" s="28" t="s">
        <v>258</v>
      </c>
      <c r="D23" s="4"/>
      <c r="E23" s="29">
        <f>$F$5</f>
        <v>750</v>
      </c>
      <c r="F23" s="4" t="s">
        <v>29</v>
      </c>
    </row>
    <row r="24" spans="2:6" ht="22.5" x14ac:dyDescent="0.45">
      <c r="B24" s="26" t="s">
        <v>223</v>
      </c>
      <c r="C24" s="33"/>
      <c r="D24" s="26"/>
      <c r="E24" s="35"/>
      <c r="F24" s="26"/>
    </row>
    <row r="25" spans="2:6" ht="15" x14ac:dyDescent="0.2">
      <c r="B25" s="4" t="s">
        <v>14</v>
      </c>
      <c r="C25" s="28" t="s">
        <v>226</v>
      </c>
      <c r="D25" s="4" t="s">
        <v>35</v>
      </c>
      <c r="E25" s="29">
        <v>869</v>
      </c>
      <c r="F25" s="4"/>
    </row>
    <row r="26" spans="2:6" ht="15" x14ac:dyDescent="0.2">
      <c r="B26" s="4"/>
      <c r="C26" s="28" t="s">
        <v>228</v>
      </c>
      <c r="D26" s="4" t="s">
        <v>36</v>
      </c>
      <c r="E26" s="29">
        <v>759</v>
      </c>
      <c r="F26" s="4" t="s">
        <v>31</v>
      </c>
    </row>
    <row r="27" spans="2:6" ht="15" x14ac:dyDescent="0.2">
      <c r="B27" s="4"/>
      <c r="C27" s="28"/>
      <c r="D27" s="4" t="s">
        <v>37</v>
      </c>
      <c r="E27" s="29">
        <v>723</v>
      </c>
      <c r="F27" s="4" t="s">
        <v>31</v>
      </c>
    </row>
    <row r="28" spans="2:6" ht="15" x14ac:dyDescent="0.2">
      <c r="B28" s="5" t="s">
        <v>56</v>
      </c>
      <c r="C28" s="30" t="s">
        <v>227</v>
      </c>
      <c r="D28" s="5" t="s">
        <v>35</v>
      </c>
      <c r="E28" s="31">
        <f>E25*1.5</f>
        <v>1303.5</v>
      </c>
      <c r="F28" s="5"/>
    </row>
    <row r="29" spans="2:6" ht="15" x14ac:dyDescent="0.2">
      <c r="B29" s="5"/>
      <c r="C29" s="39" t="s">
        <v>228</v>
      </c>
      <c r="D29" s="5" t="s">
        <v>36</v>
      </c>
      <c r="E29" s="31">
        <f>E26*1.5</f>
        <v>1138.5</v>
      </c>
      <c r="F29" s="5" t="s">
        <v>31</v>
      </c>
    </row>
    <row r="30" spans="2:6" ht="15" x14ac:dyDescent="0.2">
      <c r="B30" s="5"/>
      <c r="C30" s="30"/>
      <c r="D30" s="5" t="s">
        <v>37</v>
      </c>
      <c r="E30" s="31">
        <f>E27*1.5</f>
        <v>1084.5</v>
      </c>
      <c r="F30" s="5" t="s">
        <v>31</v>
      </c>
    </row>
    <row r="31" spans="2:6" ht="15" x14ac:dyDescent="0.2">
      <c r="B31" s="4" t="s">
        <v>15</v>
      </c>
      <c r="C31" s="28"/>
      <c r="D31" s="4" t="s">
        <v>240</v>
      </c>
      <c r="E31" s="29">
        <f>$F$5*3</f>
        <v>2250</v>
      </c>
      <c r="F31" s="4" t="s">
        <v>41</v>
      </c>
    </row>
    <row r="32" spans="2:6" ht="15" x14ac:dyDescent="0.2">
      <c r="B32" s="4"/>
      <c r="C32" s="28"/>
      <c r="D32" s="4" t="s">
        <v>241</v>
      </c>
      <c r="E32" s="29">
        <f>$F$5*4</f>
        <v>3000</v>
      </c>
      <c r="F32" s="4" t="s">
        <v>41</v>
      </c>
    </row>
    <row r="33" spans="2:6" ht="15" x14ac:dyDescent="0.2">
      <c r="B33" s="4"/>
      <c r="C33" s="28"/>
      <c r="D33" s="4" t="s">
        <v>242</v>
      </c>
      <c r="E33" s="29">
        <f>$F$5*6</f>
        <v>4500</v>
      </c>
      <c r="F33" s="4" t="s">
        <v>41</v>
      </c>
    </row>
    <row r="34" spans="2:6" ht="15" x14ac:dyDescent="0.2">
      <c r="B34" s="5" t="s">
        <v>53</v>
      </c>
      <c r="C34" s="30"/>
      <c r="D34" s="5"/>
      <c r="E34" s="31">
        <v>32</v>
      </c>
      <c r="F34" s="5" t="s">
        <v>31</v>
      </c>
    </row>
    <row r="35" spans="2:6" ht="22.5" x14ac:dyDescent="0.45">
      <c r="B35" s="26" t="s">
        <v>24</v>
      </c>
      <c r="C35" s="33"/>
      <c r="D35" s="26"/>
      <c r="E35" s="35"/>
      <c r="F35" s="26"/>
    </row>
    <row r="36" spans="2:6" ht="15" x14ac:dyDescent="0.2">
      <c r="B36" s="4" t="s">
        <v>33</v>
      </c>
      <c r="C36" s="28"/>
      <c r="D36" s="4"/>
      <c r="E36" s="29">
        <f>$F$5*2</f>
        <v>1500</v>
      </c>
      <c r="F36" s="4" t="s">
        <v>32</v>
      </c>
    </row>
    <row r="37" spans="2:6" ht="15" x14ac:dyDescent="0.2">
      <c r="B37" s="5" t="s">
        <v>174</v>
      </c>
      <c r="C37" s="30" t="s">
        <v>229</v>
      </c>
      <c r="D37" s="5"/>
      <c r="E37" s="31">
        <f>$F$5*2</f>
        <v>1500</v>
      </c>
      <c r="F37" s="5" t="s">
        <v>31</v>
      </c>
    </row>
    <row r="38" spans="2:6" ht="30" x14ac:dyDescent="0.2">
      <c r="B38" s="4" t="s">
        <v>16</v>
      </c>
      <c r="C38" s="28" t="s">
        <v>130</v>
      </c>
      <c r="D38" s="4"/>
      <c r="E38" s="36">
        <f>$F$5*6</f>
        <v>4500</v>
      </c>
      <c r="F38" s="4" t="s">
        <v>31</v>
      </c>
    </row>
    <row r="39" spans="2:6" ht="15" x14ac:dyDescent="0.2">
      <c r="B39" s="5" t="s">
        <v>215</v>
      </c>
      <c r="C39" s="30" t="s">
        <v>131</v>
      </c>
      <c r="D39" s="5" t="s">
        <v>108</v>
      </c>
      <c r="E39" s="31">
        <f>$F$5*2</f>
        <v>1500</v>
      </c>
      <c r="F39" s="5" t="s">
        <v>40</v>
      </c>
    </row>
    <row r="40" spans="2:6" ht="15" x14ac:dyDescent="0.2">
      <c r="B40" s="5"/>
      <c r="C40" s="30"/>
      <c r="D40" s="5" t="s">
        <v>107</v>
      </c>
      <c r="E40" s="31">
        <f>$F$5*8</f>
        <v>6000</v>
      </c>
      <c r="F40" s="5" t="s">
        <v>40</v>
      </c>
    </row>
    <row r="41" spans="2:6" ht="15" x14ac:dyDescent="0.2">
      <c r="B41" s="5"/>
      <c r="C41" s="30"/>
      <c r="D41" s="5" t="s">
        <v>216</v>
      </c>
      <c r="E41" s="31">
        <f>$F$5*16</f>
        <v>12000</v>
      </c>
      <c r="F41" s="5" t="s">
        <v>40</v>
      </c>
    </row>
    <row r="42" spans="2:6" ht="15" x14ac:dyDescent="0.2">
      <c r="B42" s="5"/>
      <c r="C42" s="30"/>
      <c r="D42" s="5" t="s">
        <v>217</v>
      </c>
      <c r="E42" s="31">
        <f>$F$5*24</f>
        <v>18000</v>
      </c>
      <c r="F42" s="5" t="s">
        <v>40</v>
      </c>
    </row>
    <row r="43" spans="2:6" ht="22.5" x14ac:dyDescent="0.45">
      <c r="B43" s="26" t="s">
        <v>42</v>
      </c>
      <c r="C43" s="33"/>
      <c r="D43" s="26"/>
      <c r="E43" s="35"/>
      <c r="F43" s="26"/>
    </row>
    <row r="44" spans="2:6" ht="15" x14ac:dyDescent="0.2">
      <c r="B44" s="4" t="s">
        <v>33</v>
      </c>
      <c r="C44" s="28"/>
      <c r="D44" s="4"/>
      <c r="E44" s="29">
        <f>$F$5*2</f>
        <v>1500</v>
      </c>
      <c r="F44" s="4" t="s">
        <v>32</v>
      </c>
    </row>
    <row r="45" spans="2:6" ht="15" x14ac:dyDescent="0.2">
      <c r="B45" s="103" t="s">
        <v>249</v>
      </c>
      <c r="C45" s="60" t="s">
        <v>250</v>
      </c>
      <c r="D45" s="104" t="s">
        <v>247</v>
      </c>
      <c r="E45" s="31">
        <f>$F$5*2</f>
        <v>1500</v>
      </c>
      <c r="F45" s="60" t="s">
        <v>31</v>
      </c>
    </row>
    <row r="46" spans="2:6" ht="15" x14ac:dyDescent="0.2">
      <c r="B46" s="103"/>
      <c r="C46" s="60"/>
      <c r="D46" s="60" t="s">
        <v>248</v>
      </c>
      <c r="E46" s="31">
        <f>$F$5*1.5</f>
        <v>1125</v>
      </c>
      <c r="F46" s="60" t="s">
        <v>31</v>
      </c>
    </row>
    <row r="47" spans="2:6" ht="15" x14ac:dyDescent="0.2">
      <c r="B47" s="4" t="s">
        <v>251</v>
      </c>
      <c r="C47" s="4" t="s">
        <v>252</v>
      </c>
      <c r="D47" s="4" t="s">
        <v>260</v>
      </c>
      <c r="E47" s="29">
        <f>$F$5*0.75</f>
        <v>562.5</v>
      </c>
      <c r="F47" s="4" t="s">
        <v>31</v>
      </c>
    </row>
    <row r="48" spans="2:6" ht="22.5" x14ac:dyDescent="0.45">
      <c r="B48" s="26" t="s">
        <v>22</v>
      </c>
      <c r="C48" s="33"/>
      <c r="D48" s="26"/>
      <c r="E48" s="35"/>
      <c r="F48" s="26"/>
    </row>
    <row r="49" spans="2:6" ht="15" x14ac:dyDescent="0.2">
      <c r="B49" s="4" t="s">
        <v>33</v>
      </c>
      <c r="C49" s="28"/>
      <c r="D49" s="4"/>
      <c r="E49" s="29">
        <f>$F$5*2</f>
        <v>1500</v>
      </c>
      <c r="F49" s="4" t="s">
        <v>32</v>
      </c>
    </row>
    <row r="50" spans="2:6" ht="15" x14ac:dyDescent="0.2">
      <c r="B50" s="5" t="s">
        <v>11</v>
      </c>
      <c r="C50" s="30" t="s">
        <v>221</v>
      </c>
      <c r="D50" s="5"/>
      <c r="E50" s="31">
        <f>$F$5*0.6</f>
        <v>450</v>
      </c>
      <c r="F50" s="5" t="s">
        <v>31</v>
      </c>
    </row>
    <row r="51" spans="2:6" ht="15" x14ac:dyDescent="0.2">
      <c r="B51" s="4" t="s">
        <v>46</v>
      </c>
      <c r="C51" s="28" t="s">
        <v>117</v>
      </c>
      <c r="D51" s="4"/>
      <c r="E51" s="29">
        <f>$F$5*3</f>
        <v>2250</v>
      </c>
      <c r="F51" s="4" t="s">
        <v>32</v>
      </c>
    </row>
    <row r="52" spans="2:6" ht="15" x14ac:dyDescent="0.2">
      <c r="B52" s="4"/>
      <c r="C52" s="28" t="s">
        <v>132</v>
      </c>
      <c r="D52" s="4" t="s">
        <v>115</v>
      </c>
      <c r="E52" s="29">
        <f>$F$5*2</f>
        <v>1500</v>
      </c>
      <c r="F52" s="4" t="s">
        <v>31</v>
      </c>
    </row>
    <row r="53" spans="2:6" ht="15" x14ac:dyDescent="0.2">
      <c r="B53" s="4"/>
      <c r="C53" s="28"/>
      <c r="D53" s="4" t="s">
        <v>116</v>
      </c>
      <c r="E53" s="29">
        <f>$F$5</f>
        <v>750</v>
      </c>
      <c r="F53" s="4" t="s">
        <v>31</v>
      </c>
    </row>
    <row r="54" spans="2:6" ht="15" x14ac:dyDescent="0.2">
      <c r="B54" s="5" t="s">
        <v>118</v>
      </c>
      <c r="C54" s="30" t="s">
        <v>133</v>
      </c>
      <c r="D54" s="5"/>
      <c r="E54" s="31"/>
      <c r="F54" s="40" t="s">
        <v>210</v>
      </c>
    </row>
    <row r="55" spans="2:6" ht="22.5" x14ac:dyDescent="0.45">
      <c r="B55" s="26" t="s">
        <v>21</v>
      </c>
      <c r="C55" s="33"/>
      <c r="D55" s="26"/>
      <c r="E55" s="35"/>
      <c r="F55" s="41"/>
    </row>
    <row r="56" spans="2:6" ht="15" x14ac:dyDescent="0.2">
      <c r="B56" s="4" t="s">
        <v>19</v>
      </c>
      <c r="C56" s="28"/>
      <c r="D56" s="4"/>
      <c r="E56" s="29"/>
      <c r="F56" s="38" t="s">
        <v>210</v>
      </c>
    </row>
    <row r="57" spans="2:6" ht="22.5" x14ac:dyDescent="0.45">
      <c r="B57" s="26" t="s">
        <v>67</v>
      </c>
      <c r="C57" s="33"/>
      <c r="D57" s="26"/>
      <c r="E57" s="35"/>
      <c r="F57" s="42"/>
    </row>
    <row r="58" spans="2:6" ht="15" x14ac:dyDescent="0.2">
      <c r="B58" s="102" t="s">
        <v>239</v>
      </c>
      <c r="C58" s="28"/>
      <c r="D58" s="4"/>
      <c r="E58" s="29"/>
      <c r="F58" s="38" t="s">
        <v>208</v>
      </c>
    </row>
    <row r="59" spans="2:6" ht="22.5" x14ac:dyDescent="0.45">
      <c r="B59" s="26" t="s">
        <v>218</v>
      </c>
      <c r="C59" s="33"/>
      <c r="D59" s="26"/>
      <c r="E59" s="35"/>
      <c r="F59" s="42"/>
    </row>
    <row r="60" spans="2:6" ht="15" x14ac:dyDescent="0.2">
      <c r="B60" s="4" t="s">
        <v>259</v>
      </c>
      <c r="C60" s="28" t="s">
        <v>225</v>
      </c>
      <c r="D60" s="4" t="s">
        <v>44</v>
      </c>
      <c r="E60" s="29">
        <v>335</v>
      </c>
      <c r="F60" s="4" t="s">
        <v>32</v>
      </c>
    </row>
    <row r="61" spans="2:6" ht="15" x14ac:dyDescent="0.2">
      <c r="B61" s="4"/>
      <c r="C61" s="28" t="s">
        <v>224</v>
      </c>
      <c r="D61" s="4" t="s">
        <v>45</v>
      </c>
      <c r="E61" s="29">
        <f>$F$5</f>
        <v>750</v>
      </c>
      <c r="F61" s="4" t="s">
        <v>32</v>
      </c>
    </row>
    <row r="62" spans="2:6" ht="15" x14ac:dyDescent="0.2">
      <c r="B62" s="5" t="s">
        <v>112</v>
      </c>
      <c r="C62" s="30" t="s">
        <v>220</v>
      </c>
      <c r="D62" s="5"/>
      <c r="E62" s="31"/>
      <c r="F62" s="106" t="s">
        <v>210</v>
      </c>
    </row>
    <row r="63" spans="2:6" ht="15" x14ac:dyDescent="0.2">
      <c r="B63" s="107" t="s">
        <v>237</v>
      </c>
      <c r="C63" s="108"/>
      <c r="D63" s="107"/>
      <c r="E63" s="109"/>
      <c r="F63" s="110" t="s">
        <v>210</v>
      </c>
    </row>
    <row r="64" spans="2:6" x14ac:dyDescent="0.2"/>
    <row r="65" x14ac:dyDescent="0.2"/>
    <row r="66" x14ac:dyDescent="0.2"/>
    <row r="67" x14ac:dyDescent="0.2"/>
    <row r="68" x14ac:dyDescent="0.2"/>
    <row r="69" x14ac:dyDescent="0.2"/>
    <row r="70" x14ac:dyDescent="0.2"/>
    <row r="71" x14ac:dyDescent="0.2"/>
    <row r="72" x14ac:dyDescent="0.2"/>
    <row r="73" x14ac:dyDescent="0.2"/>
    <row r="74" x14ac:dyDescent="0.2"/>
    <row r="75" x14ac:dyDescent="0.2"/>
    <row r="76" x14ac:dyDescent="0.2"/>
    <row r="77" x14ac:dyDescent="0.2"/>
    <row r="78" x14ac:dyDescent="0.2"/>
    <row r="79" x14ac:dyDescent="0.2"/>
    <row r="80" x14ac:dyDescent="0.2"/>
    <row r="81" x14ac:dyDescent="0.2"/>
    <row r="82" x14ac:dyDescent="0.2"/>
    <row r="83" x14ac:dyDescent="0.2"/>
    <row r="84" x14ac:dyDescent="0.2"/>
    <row r="85" x14ac:dyDescent="0.2"/>
    <row r="86" x14ac:dyDescent="0.2"/>
    <row r="87" x14ac:dyDescent="0.2"/>
    <row r="88" x14ac:dyDescent="0.2"/>
    <row r="89" x14ac:dyDescent="0.2"/>
    <row r="90" x14ac:dyDescent="0.2"/>
    <row r="91" x14ac:dyDescent="0.2"/>
    <row r="92" x14ac:dyDescent="0.2"/>
    <row r="93" x14ac:dyDescent="0.2"/>
    <row r="94" x14ac:dyDescent="0.2"/>
    <row r="95" x14ac:dyDescent="0.2"/>
    <row r="96"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row r="114" x14ac:dyDescent="0.2"/>
    <row r="115" x14ac:dyDescent="0.2"/>
    <row r="116" x14ac:dyDescent="0.2"/>
    <row r="117" x14ac:dyDescent="0.2"/>
    <row r="118" x14ac:dyDescent="0.2"/>
    <row r="119" x14ac:dyDescent="0.2"/>
    <row r="120" x14ac:dyDescent="0.2"/>
    <row r="121" x14ac:dyDescent="0.2"/>
    <row r="122" x14ac:dyDescent="0.2"/>
    <row r="123" x14ac:dyDescent="0.2"/>
  </sheetData>
  <sheetProtection algorithmName="SHA-512" hashValue="jkFnzi/bVSM/zokjy9cl1fO6hsEGmY+M4A6KE0VNqGXpIL3g8Hu0ntMbsjUzwpRkutzF5tsrTi0I6kvTejBIiQ==" saltValue="a1Tx4HKlcu5cMlYP7LnJ2A==" spinCount="100000" sheet="1" objects="1" scenarios="1"/>
  <mergeCells count="2">
    <mergeCell ref="D5:E5"/>
    <mergeCell ref="B4:D4"/>
  </mergeCells>
  <pageMargins left="0.23622047244094491" right="0.23622047244094491" top="0.74803149606299213" bottom="0.74803149606299213" header="0.31496062992125984" footer="0.31496062992125984"/>
  <pageSetup paperSize="9" scale="71" fitToHeight="0" orientation="landscape" r:id="rId1"/>
  <headerFooter>
    <oddFooter>&amp;C&amp;A (Side &amp;P)</oddFooter>
  </headerFooter>
  <ignoredErrors>
    <ignoredError sqref="E38" formula="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3E0B0-9F26-45AA-AFAE-E879A7D11C65}">
  <sheetPr codeName="Ark2">
    <tabColor theme="3" tint="-0.249977111117893"/>
    <pageSetUpPr fitToPage="1"/>
  </sheetPr>
  <dimension ref="B1:L166"/>
  <sheetViews>
    <sheetView showGridLines="0" tabSelected="1" topLeftCell="A13" zoomScaleNormal="100" zoomScaleSheetLayoutView="50" workbookViewId="0">
      <selection activeCell="E33" sqref="E33"/>
    </sheetView>
  </sheetViews>
  <sheetFormatPr defaultColWidth="0" defaultRowHeight="12.75" zeroHeight="1" x14ac:dyDescent="0.2"/>
  <cols>
    <col min="1" max="1" width="5.7109375" customWidth="1"/>
    <col min="2" max="2" width="47.7109375" customWidth="1"/>
    <col min="3" max="3" width="53" customWidth="1"/>
    <col min="4" max="4" width="21.28515625" customWidth="1"/>
    <col min="5" max="5" width="9.85546875" customWidth="1"/>
    <col min="6" max="6" width="12" bestFit="1" customWidth="1"/>
    <col min="7" max="7" width="18.140625" bestFit="1" customWidth="1"/>
    <col min="8" max="8" width="14" bestFit="1" customWidth="1"/>
    <col min="9" max="9" width="21" customWidth="1"/>
    <col min="10" max="10" width="5.7109375" customWidth="1"/>
    <col min="11" max="11" width="10" hidden="1" customWidth="1"/>
    <col min="12" max="12" width="13.85546875" hidden="1" customWidth="1"/>
    <col min="13" max="13" width="0" hidden="1" customWidth="1"/>
  </cols>
  <sheetData>
    <row r="1" spans="2:9" ht="22.5" customHeight="1" x14ac:dyDescent="0.2">
      <c r="C1" s="111"/>
    </row>
    <row r="2" spans="2:9" x14ac:dyDescent="0.2">
      <c r="B2" s="16"/>
      <c r="C2" s="16"/>
      <c r="D2" s="16"/>
      <c r="E2" s="16"/>
      <c r="F2" s="16"/>
      <c r="G2" s="16"/>
      <c r="H2" s="16"/>
      <c r="I2" s="16"/>
    </row>
    <row r="3" spans="2:9" ht="29.25" customHeight="1" x14ac:dyDescent="0.6">
      <c r="B3" s="17" t="s">
        <v>262</v>
      </c>
      <c r="C3" s="17"/>
      <c r="D3" s="18"/>
      <c r="E3" s="19"/>
      <c r="F3" s="17"/>
      <c r="G3" s="17"/>
      <c r="H3" s="18"/>
      <c r="I3" s="20" t="e" vm="1">
        <v>#VALUE!</v>
      </c>
    </row>
    <row r="4" spans="2:9" ht="12" customHeight="1" x14ac:dyDescent="0.2">
      <c r="B4" s="43"/>
      <c r="C4" s="43"/>
      <c r="D4" s="43"/>
      <c r="E4" s="43"/>
      <c r="F4" s="43"/>
      <c r="G4" s="43"/>
      <c r="H4" s="43"/>
      <c r="I4" s="43"/>
    </row>
    <row r="5" spans="2:9" ht="15" x14ac:dyDescent="0.3">
      <c r="B5" s="44" t="s">
        <v>209</v>
      </c>
      <c r="C5" s="45"/>
      <c r="D5" s="45"/>
      <c r="E5" s="45"/>
      <c r="F5" s="45"/>
      <c r="G5" s="45"/>
      <c r="H5" s="46" t="s">
        <v>184</v>
      </c>
      <c r="I5" s="7"/>
    </row>
    <row r="6" spans="2:9" ht="15" x14ac:dyDescent="0.3">
      <c r="B6" s="44" t="s">
        <v>196</v>
      </c>
      <c r="C6" s="45"/>
      <c r="D6" s="45"/>
      <c r="E6" s="45"/>
      <c r="F6" s="45"/>
      <c r="G6" s="45"/>
      <c r="H6" s="46" t="s">
        <v>185</v>
      </c>
      <c r="I6" s="6"/>
    </row>
    <row r="7" spans="2:9" ht="18.75" customHeight="1" x14ac:dyDescent="0.3">
      <c r="B7" s="45" t="s">
        <v>230</v>
      </c>
      <c r="C7" s="45"/>
      <c r="D7" s="45"/>
      <c r="E7" s="45"/>
      <c r="F7" s="45"/>
      <c r="G7" s="45"/>
      <c r="H7" s="45"/>
      <c r="I7" s="45"/>
    </row>
    <row r="8" spans="2:9" ht="21.6" customHeight="1" x14ac:dyDescent="0.35">
      <c r="B8" s="43"/>
      <c r="C8" s="43"/>
      <c r="D8" s="43"/>
      <c r="E8" s="43"/>
      <c r="F8" s="47"/>
      <c r="G8" s="112" t="s">
        <v>57</v>
      </c>
      <c r="H8" s="112"/>
      <c r="I8" s="48">
        <v>750</v>
      </c>
    </row>
    <row r="9" spans="2:9" ht="17.25" customHeight="1" x14ac:dyDescent="0.2">
      <c r="B9" s="3" t="s">
        <v>180</v>
      </c>
      <c r="C9" s="3" t="s">
        <v>189</v>
      </c>
      <c r="D9" s="15" t="s">
        <v>190</v>
      </c>
      <c r="E9" s="15" t="s">
        <v>191</v>
      </c>
      <c r="F9" s="15"/>
      <c r="G9" s="15" t="s">
        <v>192</v>
      </c>
      <c r="H9" s="15" t="s">
        <v>105</v>
      </c>
      <c r="I9" s="15" t="s">
        <v>193</v>
      </c>
    </row>
    <row r="10" spans="2:9" ht="22.5" x14ac:dyDescent="0.45">
      <c r="B10" s="26" t="s">
        <v>28</v>
      </c>
      <c r="C10" s="26"/>
      <c r="D10" s="26"/>
      <c r="E10" s="26"/>
      <c r="F10" s="26"/>
      <c r="G10" s="26"/>
      <c r="H10" s="26"/>
      <c r="I10" s="26"/>
    </row>
    <row r="11" spans="2:9" ht="15" x14ac:dyDescent="0.2">
      <c r="B11" s="4" t="s">
        <v>253</v>
      </c>
      <c r="C11" s="4" t="s">
        <v>256</v>
      </c>
      <c r="D11" s="49">
        <f>$I$8</f>
        <v>750</v>
      </c>
      <c r="E11" s="71"/>
      <c r="F11" s="4" t="s">
        <v>1</v>
      </c>
      <c r="G11" s="50">
        <f>D11*E11</f>
        <v>0</v>
      </c>
      <c r="H11" s="50">
        <f t="shared" ref="H11:H16" si="0">G11*0.25</f>
        <v>0</v>
      </c>
      <c r="I11" s="50">
        <f t="shared" ref="I11:I16" si="1">SUM(G11:H11)</f>
        <v>0</v>
      </c>
    </row>
    <row r="12" spans="2:9" ht="15" x14ac:dyDescent="0.2">
      <c r="B12" s="5" t="s">
        <v>2</v>
      </c>
      <c r="C12" s="5" t="s">
        <v>38</v>
      </c>
      <c r="D12" s="51">
        <f>$I$8</f>
        <v>750</v>
      </c>
      <c r="E12" s="73"/>
      <c r="F12" s="5" t="s">
        <v>1</v>
      </c>
      <c r="G12" s="52">
        <f>D12*E12</f>
        <v>0</v>
      </c>
      <c r="H12" s="52">
        <f t="shared" si="0"/>
        <v>0</v>
      </c>
      <c r="I12" s="52">
        <f t="shared" si="1"/>
        <v>0</v>
      </c>
    </row>
    <row r="13" spans="2:9" ht="15" x14ac:dyDescent="0.2">
      <c r="B13" s="4" t="s">
        <v>3</v>
      </c>
      <c r="C13" s="4" t="s">
        <v>39</v>
      </c>
      <c r="D13" s="49">
        <f>$I$8</f>
        <v>750</v>
      </c>
      <c r="E13" s="71"/>
      <c r="F13" s="4" t="s">
        <v>1</v>
      </c>
      <c r="G13" s="50">
        <f>D13*E13</f>
        <v>0</v>
      </c>
      <c r="H13" s="50">
        <f t="shared" si="0"/>
        <v>0</v>
      </c>
      <c r="I13" s="50">
        <f t="shared" si="1"/>
        <v>0</v>
      </c>
    </row>
    <row r="14" spans="2:9" ht="15" x14ac:dyDescent="0.2">
      <c r="B14" s="5" t="s">
        <v>4</v>
      </c>
      <c r="C14" s="5" t="s">
        <v>48</v>
      </c>
      <c r="D14" s="51">
        <f>'PRISLISTE NAT.'!E10</f>
        <v>3.94</v>
      </c>
      <c r="E14" s="73"/>
      <c r="F14" s="5" t="s">
        <v>5</v>
      </c>
      <c r="G14" s="52">
        <f>D14*E14</f>
        <v>0</v>
      </c>
      <c r="H14" s="52">
        <f t="shared" si="0"/>
        <v>0</v>
      </c>
      <c r="I14" s="52">
        <f t="shared" si="1"/>
        <v>0</v>
      </c>
    </row>
    <row r="15" spans="2:9" ht="15" x14ac:dyDescent="0.2">
      <c r="B15" s="4" t="s">
        <v>6</v>
      </c>
      <c r="C15" s="4" t="s">
        <v>49</v>
      </c>
      <c r="D15" s="49">
        <f>'PRISLISTE NAT.'!E11</f>
        <v>100</v>
      </c>
      <c r="E15" s="71"/>
      <c r="F15" s="4" t="s">
        <v>7</v>
      </c>
      <c r="G15" s="50">
        <f>D15*E15</f>
        <v>0</v>
      </c>
      <c r="H15" s="50">
        <f t="shared" si="0"/>
        <v>0</v>
      </c>
      <c r="I15" s="50">
        <f t="shared" si="1"/>
        <v>0</v>
      </c>
    </row>
    <row r="16" spans="2:9" ht="15" x14ac:dyDescent="0.2">
      <c r="B16" s="5" t="s">
        <v>205</v>
      </c>
      <c r="C16" s="5" t="s">
        <v>257</v>
      </c>
      <c r="D16" s="72"/>
      <c r="E16" s="11" t="s">
        <v>206</v>
      </c>
      <c r="F16" s="5"/>
      <c r="G16" s="52">
        <f>SUM(D16)</f>
        <v>0</v>
      </c>
      <c r="H16" s="52">
        <f t="shared" si="0"/>
        <v>0</v>
      </c>
      <c r="I16" s="52">
        <f t="shared" si="1"/>
        <v>0</v>
      </c>
    </row>
    <row r="17" spans="2:9" ht="17.25" x14ac:dyDescent="0.35">
      <c r="B17" s="8" t="s">
        <v>187</v>
      </c>
      <c r="C17" s="8"/>
      <c r="D17" s="53"/>
      <c r="E17" s="54"/>
      <c r="F17" s="8"/>
      <c r="G17" s="55">
        <f>SUM(G11:G16)</f>
        <v>0</v>
      </c>
      <c r="H17" s="55">
        <f>SUM(H11:H16)</f>
        <v>0</v>
      </c>
      <c r="I17" s="55">
        <f>SUM(I11:I16)</f>
        <v>0</v>
      </c>
    </row>
    <row r="18" spans="2:9" ht="22.5" x14ac:dyDescent="0.45">
      <c r="B18" s="26" t="s">
        <v>27</v>
      </c>
      <c r="C18" s="26"/>
      <c r="D18" s="56"/>
      <c r="E18" s="57"/>
      <c r="F18" s="26"/>
      <c r="G18" s="58"/>
      <c r="H18" s="58"/>
      <c r="I18" s="58"/>
    </row>
    <row r="19" spans="2:9" ht="15" x14ac:dyDescent="0.2">
      <c r="B19" s="4" t="s">
        <v>8</v>
      </c>
      <c r="C19" s="4" t="s">
        <v>110</v>
      </c>
      <c r="D19" s="49">
        <v>471</v>
      </c>
      <c r="E19" s="71"/>
      <c r="F19" s="4" t="s">
        <v>9</v>
      </c>
      <c r="G19" s="50">
        <f>D19*E19</f>
        <v>0</v>
      </c>
      <c r="H19" s="50">
        <f>G19*0.25</f>
        <v>0</v>
      </c>
      <c r="I19" s="50">
        <f>SUM(G19:H19)</f>
        <v>0</v>
      </c>
    </row>
    <row r="20" spans="2:9" ht="15" x14ac:dyDescent="0.2">
      <c r="B20" s="4" t="s">
        <v>109</v>
      </c>
      <c r="C20" s="4" t="s">
        <v>123</v>
      </c>
      <c r="D20" s="49">
        <f>D19*5</f>
        <v>2355</v>
      </c>
      <c r="E20" s="71"/>
      <c r="F20" s="4" t="s">
        <v>9</v>
      </c>
      <c r="G20" s="50">
        <f t="shared" ref="G20" si="2">D20*E20</f>
        <v>0</v>
      </c>
      <c r="H20" s="50">
        <f t="shared" ref="H20" si="3">G20*0.25</f>
        <v>0</v>
      </c>
      <c r="I20" s="50">
        <f t="shared" ref="I20" si="4">SUM(G20:H20)</f>
        <v>0</v>
      </c>
    </row>
    <row r="21" spans="2:9" ht="17.25" x14ac:dyDescent="0.35">
      <c r="B21" s="8" t="s">
        <v>187</v>
      </c>
      <c r="C21" s="8"/>
      <c r="D21" s="53"/>
      <c r="E21" s="54"/>
      <c r="F21" s="8"/>
      <c r="G21" s="55">
        <f>SUM(G19:G20)</f>
        <v>0</v>
      </c>
      <c r="H21" s="55">
        <f>SUM(H19:H20)</f>
        <v>0</v>
      </c>
      <c r="I21" s="55">
        <f>SUM(I19:I20)</f>
        <v>0</v>
      </c>
    </row>
    <row r="22" spans="2:9" ht="22.5" x14ac:dyDescent="0.45">
      <c r="B22" s="26" t="s">
        <v>26</v>
      </c>
      <c r="C22" s="26"/>
      <c r="D22" s="56"/>
      <c r="E22" s="57"/>
      <c r="F22" s="26"/>
      <c r="G22" s="59"/>
      <c r="H22" s="59"/>
      <c r="I22" s="59"/>
    </row>
    <row r="23" spans="2:9" ht="15" x14ac:dyDescent="0.2">
      <c r="B23" s="4" t="s">
        <v>167</v>
      </c>
      <c r="C23" s="74" t="s">
        <v>168</v>
      </c>
      <c r="D23" s="49"/>
      <c r="E23" s="100" t="b">
        <v>0</v>
      </c>
      <c r="F23" s="4"/>
      <c r="G23" s="50">
        <f>IF(E23=TRUE(),,IF(OR(E24&gt;0,E25&gt;0,E26&gt;0,E27&gt;0,E29&gt;0),$I$8*2,))</f>
        <v>0</v>
      </c>
      <c r="H23" s="50">
        <f t="shared" ref="H23:H29" si="5">G23*0.25</f>
        <v>0</v>
      </c>
      <c r="I23" s="50">
        <f t="shared" ref="I23:I29" si="6">SUM(G23:H23)</f>
        <v>0</v>
      </c>
    </row>
    <row r="24" spans="2:9" ht="15" x14ac:dyDescent="0.2">
      <c r="B24" s="5" t="s">
        <v>11</v>
      </c>
      <c r="C24" s="5" t="s">
        <v>34</v>
      </c>
      <c r="D24" s="51">
        <f>'PRISLISTE NAT.'!$E$18</f>
        <v>174</v>
      </c>
      <c r="E24" s="73"/>
      <c r="F24" s="5" t="s">
        <v>9</v>
      </c>
      <c r="G24" s="52">
        <f>D24*E24</f>
        <v>0</v>
      </c>
      <c r="H24" s="52">
        <f>G24*0.25</f>
        <v>0</v>
      </c>
      <c r="I24" s="52">
        <f t="shared" si="6"/>
        <v>0</v>
      </c>
    </row>
    <row r="25" spans="2:9" ht="15" x14ac:dyDescent="0.2">
      <c r="B25" s="5"/>
      <c r="C25" s="5" t="s">
        <v>214</v>
      </c>
      <c r="D25" s="51">
        <f>'PRISLISTE NAT.'!E19</f>
        <v>1500</v>
      </c>
      <c r="E25" s="73"/>
      <c r="F25" s="5" t="s">
        <v>9</v>
      </c>
      <c r="G25" s="52">
        <f t="shared" ref="G25:G29" si="7">D25*E25</f>
        <v>0</v>
      </c>
      <c r="H25" s="52">
        <f t="shared" si="5"/>
        <v>0</v>
      </c>
      <c r="I25" s="52">
        <f t="shared" si="6"/>
        <v>0</v>
      </c>
    </row>
    <row r="26" spans="2:9" ht="15" x14ac:dyDescent="0.2">
      <c r="B26" s="4" t="s">
        <v>55</v>
      </c>
      <c r="C26" s="4" t="s">
        <v>34</v>
      </c>
      <c r="D26" s="49">
        <f>'PRISLISTE NAT.'!E20</f>
        <v>261</v>
      </c>
      <c r="E26" s="71"/>
      <c r="F26" s="4" t="s">
        <v>9</v>
      </c>
      <c r="G26" s="50">
        <f t="shared" si="7"/>
        <v>0</v>
      </c>
      <c r="H26" s="50">
        <f t="shared" si="5"/>
        <v>0</v>
      </c>
      <c r="I26" s="50">
        <f t="shared" si="6"/>
        <v>0</v>
      </c>
    </row>
    <row r="27" spans="2:9" ht="15" x14ac:dyDescent="0.2">
      <c r="B27" s="4" t="s">
        <v>254</v>
      </c>
      <c r="C27" s="4" t="s">
        <v>214</v>
      </c>
      <c r="D27" s="49">
        <f>'PRISLISTE NAT.'!E21</f>
        <v>2250</v>
      </c>
      <c r="E27" s="71"/>
      <c r="F27" s="4" t="s">
        <v>9</v>
      </c>
      <c r="G27" s="50">
        <f t="shared" si="7"/>
        <v>0</v>
      </c>
      <c r="H27" s="50">
        <f t="shared" si="5"/>
        <v>0</v>
      </c>
      <c r="I27" s="50">
        <f t="shared" si="6"/>
        <v>0</v>
      </c>
    </row>
    <row r="28" spans="2:9" ht="15" x14ac:dyDescent="0.2">
      <c r="B28" s="5" t="s">
        <v>12</v>
      </c>
      <c r="C28" s="105"/>
      <c r="D28" s="51">
        <f>'PRISLISTE NAT.'!$E$22</f>
        <v>35</v>
      </c>
      <c r="E28" s="73"/>
      <c r="F28" s="5" t="s">
        <v>9</v>
      </c>
      <c r="G28" s="52">
        <f t="shared" si="7"/>
        <v>0</v>
      </c>
      <c r="H28" s="52">
        <f t="shared" si="5"/>
        <v>0</v>
      </c>
      <c r="I28" s="52">
        <f t="shared" si="6"/>
        <v>0</v>
      </c>
    </row>
    <row r="29" spans="2:9" ht="15" x14ac:dyDescent="0.2">
      <c r="B29" s="4" t="s">
        <v>13</v>
      </c>
      <c r="C29" s="4" t="s">
        <v>134</v>
      </c>
      <c r="D29" s="49">
        <f>I8</f>
        <v>750</v>
      </c>
      <c r="E29" s="71"/>
      <c r="F29" s="4" t="s">
        <v>1</v>
      </c>
      <c r="G29" s="50">
        <f t="shared" si="7"/>
        <v>0</v>
      </c>
      <c r="H29" s="50">
        <f t="shared" si="5"/>
        <v>0</v>
      </c>
      <c r="I29" s="50">
        <f t="shared" si="6"/>
        <v>0</v>
      </c>
    </row>
    <row r="30" spans="2:9" ht="17.25" x14ac:dyDescent="0.35">
      <c r="B30" s="8" t="s">
        <v>187</v>
      </c>
      <c r="C30" s="8"/>
      <c r="D30" s="53"/>
      <c r="E30" s="54"/>
      <c r="F30" s="8"/>
      <c r="G30" s="55">
        <f>SUM(G23:G29)</f>
        <v>0</v>
      </c>
      <c r="H30" s="55">
        <f>SUM(H23:H29)</f>
        <v>0</v>
      </c>
      <c r="I30" s="55">
        <f>SUM(I23:I29)</f>
        <v>0</v>
      </c>
    </row>
    <row r="31" spans="2:9" ht="22.5" x14ac:dyDescent="0.45">
      <c r="B31" s="26" t="s">
        <v>25</v>
      </c>
      <c r="C31" s="26"/>
      <c r="D31" s="56"/>
      <c r="E31" s="57"/>
      <c r="F31" s="26"/>
      <c r="G31" s="59"/>
      <c r="H31" s="59"/>
      <c r="I31" s="59"/>
    </row>
    <row r="32" spans="2:9" ht="15" x14ac:dyDescent="0.2">
      <c r="B32" s="4" t="s">
        <v>14</v>
      </c>
      <c r="C32" s="4" t="s">
        <v>122</v>
      </c>
      <c r="D32" s="49" t="str">
        <f>'PRISLISTE NAT.'!$E$27&amp;"-"&amp;'PRISLISTE NAT.'!$E$25&amp;" kr."</f>
        <v>723-869 kr.</v>
      </c>
      <c r="E32" s="71"/>
      <c r="F32" s="4" t="s">
        <v>9</v>
      </c>
      <c r="G32" s="50">
        <f>IF(E32=1,'PRISLISTE NAT.'!E25,IF(E32=2,('PRISLISTE NAT.'!E25+'PRISLISTE NAT.'!E26),IF(E32=3,('PRISLISTE NAT.'!E25+'PRISLISTE NAT.'!E26+'PRISLISTE NAT.'!E26),IF(AND(E32&gt;3,E32&lt;100),('PRISLISTE NAT.'!E25+'PRISLISTE NAT.'!E26+'PRISLISTE NAT.'!E26+((E32-3)*'PRISLISTE NAT.'!E27)),IF(E32&gt;=100,(('PRISLISTE NAT.'!E25+'PRISLISTE NAT.'!E26+'PRISLISTE NAT.'!E26+(E32-3)*'PRISLISTE NAT.'!E27)*0.8),)))))</f>
        <v>0</v>
      </c>
      <c r="H32" s="50">
        <f>G32*0.25</f>
        <v>0</v>
      </c>
      <c r="I32" s="50">
        <f t="shared" ref="I32" si="8">SUM(G32:H32)</f>
        <v>0</v>
      </c>
    </row>
    <row r="33" spans="2:9" ht="15" x14ac:dyDescent="0.2">
      <c r="B33" s="5" t="s">
        <v>56</v>
      </c>
      <c r="C33" s="5" t="s">
        <v>254</v>
      </c>
      <c r="D33" s="51" t="str">
        <f>'PRISLISTE NAT.'!$E$30&amp;"-"&amp;'PRISLISTE NAT.'!$E$28&amp;" kr."</f>
        <v>1084,5-1303,5 kr.</v>
      </c>
      <c r="E33" s="73"/>
      <c r="F33" s="5" t="s">
        <v>9</v>
      </c>
      <c r="G33" s="52">
        <f>IF(E33=1,'PRISLISTE NAT.'!E28,IF(E33=2,('PRISLISTE NAT.'!E28+'PRISLISTE NAT.'!E29),IF(E33=3,('PRISLISTE NAT.'!E28+'PRISLISTE NAT.'!E29*2),IF(E33&gt;3,('PRISLISTE NAT.'!E28+'PRISLISTE NAT.'!E29*2+(E33-3)*'PRISLISTE NAT.'!E30),))))</f>
        <v>0</v>
      </c>
      <c r="H33" s="52">
        <f t="shared" ref="H33:H35" si="9">G33*0.25</f>
        <v>0</v>
      </c>
      <c r="I33" s="52">
        <f t="shared" ref="I33:I35" si="10">SUM(G33:H33)</f>
        <v>0</v>
      </c>
    </row>
    <row r="34" spans="2:9" ht="15" x14ac:dyDescent="0.2">
      <c r="B34" s="4" t="s">
        <v>15</v>
      </c>
      <c r="C34" s="4" t="s">
        <v>243</v>
      </c>
      <c r="D34" s="49">
        <f>'PRISLISTE NAT.'!E31</f>
        <v>2250</v>
      </c>
      <c r="E34" s="71"/>
      <c r="F34" s="4" t="s">
        <v>246</v>
      </c>
      <c r="G34" s="50">
        <f>D34*E34</f>
        <v>0</v>
      </c>
      <c r="H34" s="50">
        <f t="shared" si="9"/>
        <v>0</v>
      </c>
      <c r="I34" s="50">
        <f t="shared" si="10"/>
        <v>0</v>
      </c>
    </row>
    <row r="35" spans="2:9" ht="15" x14ac:dyDescent="0.2">
      <c r="B35" s="4"/>
      <c r="C35" s="4" t="s">
        <v>244</v>
      </c>
      <c r="D35" s="49">
        <f>'PRISLISTE NAT.'!E32</f>
        <v>3000</v>
      </c>
      <c r="E35" s="71"/>
      <c r="F35" s="4" t="s">
        <v>246</v>
      </c>
      <c r="G35" s="50">
        <f>D35*E35</f>
        <v>0</v>
      </c>
      <c r="H35" s="50">
        <f t="shared" si="9"/>
        <v>0</v>
      </c>
      <c r="I35" s="50">
        <f t="shared" si="10"/>
        <v>0</v>
      </c>
    </row>
    <row r="36" spans="2:9" ht="15" x14ac:dyDescent="0.2">
      <c r="B36" s="4"/>
      <c r="C36" s="4" t="s">
        <v>245</v>
      </c>
      <c r="D36" s="49">
        <f>'PRISLISTE NAT.'!E33</f>
        <v>4500</v>
      </c>
      <c r="E36" s="71"/>
      <c r="F36" s="4" t="s">
        <v>246</v>
      </c>
      <c r="G36" s="50">
        <f>D36*E36</f>
        <v>0</v>
      </c>
      <c r="H36" s="50">
        <f t="shared" ref="H36:H38" si="11">G36*0.25</f>
        <v>0</v>
      </c>
      <c r="I36" s="50">
        <f t="shared" ref="I36:I38" si="12">SUM(G36:H36)</f>
        <v>0</v>
      </c>
    </row>
    <row r="37" spans="2:9" ht="15" x14ac:dyDescent="0.2">
      <c r="B37" s="5" t="s">
        <v>54</v>
      </c>
      <c r="C37" s="105"/>
      <c r="D37" s="51">
        <f>'PRISLISTE NAT.'!$E$34</f>
        <v>32</v>
      </c>
      <c r="E37" s="73"/>
      <c r="F37" s="5" t="s">
        <v>9</v>
      </c>
      <c r="G37" s="52">
        <f>D37*E37</f>
        <v>0</v>
      </c>
      <c r="H37" s="52">
        <f t="shared" ref="H37" si="13">G37*0.25</f>
        <v>0</v>
      </c>
      <c r="I37" s="52">
        <f t="shared" ref="I37" si="14">SUM(G37:H37)</f>
        <v>0</v>
      </c>
    </row>
    <row r="38" spans="2:9" ht="15" x14ac:dyDescent="0.2">
      <c r="B38" s="4" t="s">
        <v>219</v>
      </c>
      <c r="C38" s="4"/>
      <c r="D38" s="49">
        <f>'PRISLISTE NAT.'!E60</f>
        <v>335</v>
      </c>
      <c r="E38" s="71"/>
      <c r="F38" s="4" t="s">
        <v>59</v>
      </c>
      <c r="G38" s="50">
        <f>D38*E38</f>
        <v>0</v>
      </c>
      <c r="H38" s="50">
        <f t="shared" si="11"/>
        <v>0</v>
      </c>
      <c r="I38" s="50">
        <f t="shared" si="12"/>
        <v>0</v>
      </c>
    </row>
    <row r="39" spans="2:9" ht="17.25" x14ac:dyDescent="0.35">
      <c r="B39" s="8" t="s">
        <v>187</v>
      </c>
      <c r="C39" s="8"/>
      <c r="D39" s="53"/>
      <c r="E39" s="54"/>
      <c r="F39" s="8"/>
      <c r="G39" s="55">
        <f>SUM(G32:G38)</f>
        <v>0</v>
      </c>
      <c r="H39" s="55">
        <f>SUM(H32:H38)</f>
        <v>0</v>
      </c>
      <c r="I39" s="55">
        <f>SUM(I32:I38)</f>
        <v>0</v>
      </c>
    </row>
    <row r="40" spans="2:9" ht="22.5" x14ac:dyDescent="0.45">
      <c r="B40" s="26" t="s">
        <v>24</v>
      </c>
      <c r="C40" s="26"/>
      <c r="D40" s="56"/>
      <c r="E40" s="57"/>
      <c r="F40" s="26"/>
      <c r="G40" s="59"/>
      <c r="H40" s="59"/>
      <c r="I40" s="59"/>
    </row>
    <row r="41" spans="2:9" ht="15" x14ac:dyDescent="0.2">
      <c r="B41" s="4" t="s">
        <v>10</v>
      </c>
      <c r="C41" s="74" t="s">
        <v>168</v>
      </c>
      <c r="D41" s="49"/>
      <c r="E41" s="100" t="b">
        <v>0</v>
      </c>
      <c r="F41" s="4"/>
      <c r="G41" s="50">
        <f>IF(E41=TRUE(),,IF(OR(E42&gt;0,E43&gt;0),$I$8*2,))</f>
        <v>0</v>
      </c>
      <c r="H41" s="50">
        <f t="shared" ref="H41:H44" si="15">G41*0.25</f>
        <v>0</v>
      </c>
      <c r="I41" s="50">
        <f t="shared" ref="I41:I44" si="16">SUM(G41:H41)</f>
        <v>0</v>
      </c>
    </row>
    <row r="42" spans="2:9" ht="15" x14ac:dyDescent="0.2">
      <c r="B42" s="5" t="s">
        <v>174</v>
      </c>
      <c r="C42" s="5" t="s">
        <v>51</v>
      </c>
      <c r="D42" s="51">
        <f>$I$8*2</f>
        <v>1500</v>
      </c>
      <c r="E42" s="73"/>
      <c r="F42" s="5" t="s">
        <v>9</v>
      </c>
      <c r="G42" s="52">
        <f>D42*E42</f>
        <v>0</v>
      </c>
      <c r="H42" s="52">
        <f t="shared" si="15"/>
        <v>0</v>
      </c>
      <c r="I42" s="52">
        <f t="shared" si="16"/>
        <v>0</v>
      </c>
    </row>
    <row r="43" spans="2:9" ht="15" x14ac:dyDescent="0.2">
      <c r="B43" s="4" t="s">
        <v>16</v>
      </c>
      <c r="C43" s="4" t="s">
        <v>52</v>
      </c>
      <c r="D43" s="49">
        <f>$I$8*6</f>
        <v>4500</v>
      </c>
      <c r="E43" s="71"/>
      <c r="F43" s="4" t="s">
        <v>9</v>
      </c>
      <c r="G43" s="50">
        <f>D43*E43</f>
        <v>0</v>
      </c>
      <c r="H43" s="50">
        <f t="shared" si="15"/>
        <v>0</v>
      </c>
      <c r="I43" s="50">
        <f t="shared" si="16"/>
        <v>0</v>
      </c>
    </row>
    <row r="44" spans="2:9" ht="15" x14ac:dyDescent="0.2">
      <c r="B44" s="5" t="s">
        <v>17</v>
      </c>
      <c r="C44" s="5"/>
      <c r="D44" s="51"/>
      <c r="E44" s="11"/>
      <c r="F44" s="5"/>
      <c r="G44" s="52">
        <f>IF(E43="",,IF(E43&lt;5,$I$8*2,IF(AND(E43&lt;10,E43&gt;4),$I$8*8,IF(AND(E43&gt;9,E43&lt;31),$I$8*16,IF(E43&gt;30,$I$8*24,)))))</f>
        <v>0</v>
      </c>
      <c r="H44" s="52">
        <f t="shared" si="15"/>
        <v>0</v>
      </c>
      <c r="I44" s="52">
        <f t="shared" si="16"/>
        <v>0</v>
      </c>
    </row>
    <row r="45" spans="2:9" ht="17.25" x14ac:dyDescent="0.35">
      <c r="B45" s="8" t="s">
        <v>187</v>
      </c>
      <c r="C45" s="8"/>
      <c r="D45" s="53"/>
      <c r="E45" s="54"/>
      <c r="F45" s="8"/>
      <c r="G45" s="55">
        <f>SUM(G41:G44)</f>
        <v>0</v>
      </c>
      <c r="H45" s="55">
        <f>SUM(H41:H44)</f>
        <v>0</v>
      </c>
      <c r="I45" s="55">
        <f>SUM(I41:I44)</f>
        <v>0</v>
      </c>
    </row>
    <row r="46" spans="2:9" ht="22.5" x14ac:dyDescent="0.45">
      <c r="B46" s="26" t="s">
        <v>23</v>
      </c>
      <c r="C46" s="26"/>
      <c r="D46" s="56"/>
      <c r="E46" s="57"/>
      <c r="F46" s="26"/>
      <c r="G46" s="59"/>
      <c r="H46" s="59"/>
      <c r="I46" s="59"/>
    </row>
    <row r="47" spans="2:9" ht="15" x14ac:dyDescent="0.2">
      <c r="B47" s="4" t="s">
        <v>10</v>
      </c>
      <c r="C47" s="74" t="s">
        <v>168</v>
      </c>
      <c r="D47" s="49"/>
      <c r="E47" s="100" t="b">
        <v>0</v>
      </c>
      <c r="F47" s="4"/>
      <c r="G47" s="50">
        <f>IF(E47=TRUE(),,IF(OR(E48&gt;0,E49&gt;0,E50&gt;0),$I$8*2,))</f>
        <v>0</v>
      </c>
      <c r="H47" s="50">
        <f t="shared" ref="H47:H49" si="17">G47*0.25</f>
        <v>0</v>
      </c>
      <c r="I47" s="50">
        <f t="shared" ref="I47:I49" si="18">SUM(G47:H47)</f>
        <v>0</v>
      </c>
    </row>
    <row r="48" spans="2:9" ht="15" x14ac:dyDescent="0.2">
      <c r="B48" s="5" t="s">
        <v>249</v>
      </c>
      <c r="C48" s="5" t="s">
        <v>247</v>
      </c>
      <c r="D48" s="51">
        <f>$I$8*2</f>
        <v>1500</v>
      </c>
      <c r="E48" s="73"/>
      <c r="F48" s="5" t="s">
        <v>9</v>
      </c>
      <c r="G48" s="52">
        <f>D48*E48</f>
        <v>0</v>
      </c>
      <c r="H48" s="52">
        <f t="shared" si="17"/>
        <v>0</v>
      </c>
      <c r="I48" s="52">
        <f t="shared" si="18"/>
        <v>0</v>
      </c>
    </row>
    <row r="49" spans="2:9" ht="15" x14ac:dyDescent="0.2">
      <c r="B49" s="5"/>
      <c r="C49" s="5" t="s">
        <v>248</v>
      </c>
      <c r="D49" s="51">
        <f>$I$8*1.5</f>
        <v>1125</v>
      </c>
      <c r="E49" s="73"/>
      <c r="F49" s="5" t="s">
        <v>9</v>
      </c>
      <c r="G49" s="52">
        <f>D49*E49</f>
        <v>0</v>
      </c>
      <c r="H49" s="52">
        <f t="shared" si="17"/>
        <v>0</v>
      </c>
      <c r="I49" s="52">
        <f t="shared" si="18"/>
        <v>0</v>
      </c>
    </row>
    <row r="50" spans="2:9" ht="15" x14ac:dyDescent="0.2">
      <c r="B50" s="4" t="s">
        <v>251</v>
      </c>
      <c r="C50" s="4" t="s">
        <v>260</v>
      </c>
      <c r="D50" s="49">
        <f>$I$8*0.75</f>
        <v>562.5</v>
      </c>
      <c r="E50" s="71"/>
      <c r="F50" s="4" t="s">
        <v>9</v>
      </c>
      <c r="G50" s="50">
        <f>D50*E50</f>
        <v>0</v>
      </c>
      <c r="H50" s="50">
        <f t="shared" ref="H50" si="19">G50*0.25</f>
        <v>0</v>
      </c>
      <c r="I50" s="50">
        <f t="shared" ref="I50" si="20">SUM(G50:H50)</f>
        <v>0</v>
      </c>
    </row>
    <row r="51" spans="2:9" ht="17.25" x14ac:dyDescent="0.35">
      <c r="B51" s="8" t="s">
        <v>187</v>
      </c>
      <c r="C51" s="8"/>
      <c r="D51" s="53"/>
      <c r="E51" s="54"/>
      <c r="F51" s="8"/>
      <c r="G51" s="55">
        <f>SUM(G47:G50)</f>
        <v>0</v>
      </c>
      <c r="H51" s="55">
        <f>SUM(H47:H50)</f>
        <v>0</v>
      </c>
      <c r="I51" s="55">
        <f>SUM(I47:I50)</f>
        <v>0</v>
      </c>
    </row>
    <row r="52" spans="2:9" ht="22.5" x14ac:dyDescent="0.45">
      <c r="B52" s="26" t="s">
        <v>22</v>
      </c>
      <c r="C52" s="26"/>
      <c r="D52" s="56"/>
      <c r="E52" s="57"/>
      <c r="F52" s="26"/>
      <c r="G52" s="59"/>
      <c r="H52" s="59"/>
      <c r="I52" s="59"/>
    </row>
    <row r="53" spans="2:9" ht="15" x14ac:dyDescent="0.2">
      <c r="B53" s="4" t="s">
        <v>114</v>
      </c>
      <c r="C53" s="74" t="s">
        <v>168</v>
      </c>
      <c r="D53" s="49"/>
      <c r="E53" s="100" t="b">
        <v>0</v>
      </c>
      <c r="F53" s="4"/>
      <c r="G53" s="50">
        <f>IF(E53=TRUE(),,IF(OR(E54&gt;0,E56&gt;0,E57&gt;0),$I$8*2,))</f>
        <v>0</v>
      </c>
      <c r="H53" s="50">
        <f t="shared" ref="H53:H54" si="21">G53*0.25</f>
        <v>0</v>
      </c>
      <c r="I53" s="50">
        <f t="shared" ref="I53:I57" si="22">SUM(G53:H53)</f>
        <v>0</v>
      </c>
    </row>
    <row r="54" spans="2:9" ht="15" x14ac:dyDescent="0.2">
      <c r="B54" s="5" t="s">
        <v>11</v>
      </c>
      <c r="C54" s="5" t="s">
        <v>221</v>
      </c>
      <c r="D54" s="51">
        <f>'PRISLISTE NAT.'!E50</f>
        <v>450</v>
      </c>
      <c r="E54" s="73"/>
      <c r="F54" s="5" t="s">
        <v>9</v>
      </c>
      <c r="G54" s="52">
        <f>D54*E54</f>
        <v>0</v>
      </c>
      <c r="H54" s="52">
        <f t="shared" si="21"/>
        <v>0</v>
      </c>
      <c r="I54" s="52">
        <f t="shared" si="22"/>
        <v>0</v>
      </c>
    </row>
    <row r="55" spans="2:9" ht="15" x14ac:dyDescent="0.2">
      <c r="B55" s="4" t="s">
        <v>46</v>
      </c>
      <c r="C55" s="4" t="s">
        <v>124</v>
      </c>
      <c r="D55" s="49"/>
      <c r="E55" s="12"/>
      <c r="F55" s="4"/>
      <c r="G55" s="50">
        <f>IF(OR(E56&gt;0,E57&gt;0),$I$8*2,)</f>
        <v>0</v>
      </c>
      <c r="H55" s="50">
        <f>G55*0.25</f>
        <v>0</v>
      </c>
      <c r="I55" s="50">
        <f t="shared" si="22"/>
        <v>0</v>
      </c>
    </row>
    <row r="56" spans="2:9" ht="15" x14ac:dyDescent="0.2">
      <c r="B56" s="4"/>
      <c r="C56" s="4" t="s">
        <v>115</v>
      </c>
      <c r="D56" s="49">
        <f>'PRISLISTE NAT.'!E52</f>
        <v>1500</v>
      </c>
      <c r="E56" s="71"/>
      <c r="F56" s="4" t="s">
        <v>9</v>
      </c>
      <c r="G56" s="50">
        <f>D56*E56</f>
        <v>0</v>
      </c>
      <c r="H56" s="50">
        <f>G56*0.25</f>
        <v>0</v>
      </c>
      <c r="I56" s="50">
        <f t="shared" si="22"/>
        <v>0</v>
      </c>
    </row>
    <row r="57" spans="2:9" ht="15" x14ac:dyDescent="0.2">
      <c r="B57" s="4"/>
      <c r="C57" s="4" t="s">
        <v>116</v>
      </c>
      <c r="D57" s="49">
        <f>'PRISLISTE NAT.'!E53</f>
        <v>750</v>
      </c>
      <c r="E57" s="71"/>
      <c r="F57" s="4" t="s">
        <v>9</v>
      </c>
      <c r="G57" s="50">
        <f>D57*E57</f>
        <v>0</v>
      </c>
      <c r="H57" s="50">
        <f t="shared" ref="H57" si="23">G57*0.25</f>
        <v>0</v>
      </c>
      <c r="I57" s="50">
        <f t="shared" si="22"/>
        <v>0</v>
      </c>
    </row>
    <row r="58" spans="2:9" ht="17.25" x14ac:dyDescent="0.35">
      <c r="B58" s="8" t="s">
        <v>187</v>
      </c>
      <c r="C58" s="8"/>
      <c r="D58" s="53"/>
      <c r="E58" s="54"/>
      <c r="F58" s="8"/>
      <c r="G58" s="55">
        <f>SUM(G53:G57)</f>
        <v>0</v>
      </c>
      <c r="H58" s="55">
        <f>SUM(H53:H57)</f>
        <v>0</v>
      </c>
      <c r="I58" s="55">
        <f>SUM(I53:I57)</f>
        <v>0</v>
      </c>
    </row>
    <row r="59" spans="2:9" ht="22.5" x14ac:dyDescent="0.45">
      <c r="B59" s="26" t="s">
        <v>21</v>
      </c>
      <c r="C59" s="26"/>
      <c r="D59" s="56"/>
      <c r="E59" s="57"/>
      <c r="F59" s="26"/>
      <c r="G59" s="59"/>
      <c r="H59" s="59"/>
      <c r="I59" s="59"/>
    </row>
    <row r="60" spans="2:9" ht="15" x14ac:dyDescent="0.2">
      <c r="B60" s="4" t="s">
        <v>19</v>
      </c>
      <c r="C60" s="4" t="s">
        <v>134</v>
      </c>
      <c r="D60" s="49">
        <f>$I$8</f>
        <v>750</v>
      </c>
      <c r="E60" s="71"/>
      <c r="F60" s="4" t="s">
        <v>1</v>
      </c>
      <c r="G60" s="50">
        <f>D60*E60</f>
        <v>0</v>
      </c>
      <c r="H60" s="50">
        <f t="shared" ref="H60" si="24">G60*0.25</f>
        <v>0</v>
      </c>
      <c r="I60" s="50">
        <f t="shared" ref="I60" si="25">SUM(G60:H60)</f>
        <v>0</v>
      </c>
    </row>
    <row r="61" spans="2:9" ht="17.25" x14ac:dyDescent="0.35">
      <c r="B61" s="8" t="s">
        <v>187</v>
      </c>
      <c r="C61" s="8"/>
      <c r="D61" s="53"/>
      <c r="E61" s="54"/>
      <c r="F61" s="8"/>
      <c r="G61" s="55">
        <f>SUM(G60:G60)</f>
        <v>0</v>
      </c>
      <c r="H61" s="55">
        <f>SUM(H60:H60)</f>
        <v>0</v>
      </c>
      <c r="I61" s="55">
        <f>SUM(I60:I60)</f>
        <v>0</v>
      </c>
    </row>
    <row r="62" spans="2:9" ht="22.5" x14ac:dyDescent="0.45">
      <c r="B62" s="26" t="s">
        <v>218</v>
      </c>
      <c r="C62" s="26"/>
      <c r="D62" s="56"/>
      <c r="E62" s="57"/>
      <c r="F62" s="26"/>
      <c r="G62" s="59"/>
      <c r="H62" s="59"/>
      <c r="I62" s="59"/>
    </row>
    <row r="63" spans="2:9" ht="15" x14ac:dyDescent="0.2">
      <c r="B63" s="4" t="s">
        <v>111</v>
      </c>
      <c r="C63" s="4" t="s">
        <v>58</v>
      </c>
      <c r="D63" s="49">
        <f>'PRISLISTE NAT.'!E60</f>
        <v>335</v>
      </c>
      <c r="E63" s="71"/>
      <c r="F63" s="4" t="s">
        <v>59</v>
      </c>
      <c r="G63" s="50">
        <f>D63*E63</f>
        <v>0</v>
      </c>
      <c r="H63" s="50">
        <f t="shared" ref="H63:H64" si="26">G63*0.25</f>
        <v>0</v>
      </c>
      <c r="I63" s="50">
        <f t="shared" ref="I63:I64" si="27">SUM(G63:H63)</f>
        <v>0</v>
      </c>
    </row>
    <row r="64" spans="2:9" ht="15" x14ac:dyDescent="0.2">
      <c r="B64" s="4"/>
      <c r="C64" s="4" t="s">
        <v>135</v>
      </c>
      <c r="D64" s="49">
        <f>$I$8</f>
        <v>750</v>
      </c>
      <c r="E64" s="71"/>
      <c r="F64" s="4" t="s">
        <v>1</v>
      </c>
      <c r="G64" s="50">
        <f>D64*E64</f>
        <v>0</v>
      </c>
      <c r="H64" s="50">
        <f t="shared" si="26"/>
        <v>0</v>
      </c>
      <c r="I64" s="50">
        <f t="shared" si="27"/>
        <v>0</v>
      </c>
    </row>
    <row r="65" spans="2:9" ht="15" x14ac:dyDescent="0.2">
      <c r="B65" s="5" t="s">
        <v>113</v>
      </c>
      <c r="C65" s="5" t="s">
        <v>134</v>
      </c>
      <c r="D65" s="37">
        <f>$I$8</f>
        <v>750</v>
      </c>
      <c r="E65" s="71"/>
      <c r="F65" s="60" t="s">
        <v>1</v>
      </c>
      <c r="G65" s="52">
        <f>D65*E65</f>
        <v>0</v>
      </c>
      <c r="H65" s="52">
        <f>G65*0.25</f>
        <v>0</v>
      </c>
      <c r="I65" s="52">
        <f>SUM(G65:H65)</f>
        <v>0</v>
      </c>
    </row>
    <row r="66" spans="2:9" ht="15" x14ac:dyDescent="0.2">
      <c r="B66" s="4" t="s">
        <v>237</v>
      </c>
      <c r="C66" s="4"/>
      <c r="D66" s="49">
        <f>$I$8</f>
        <v>750</v>
      </c>
      <c r="E66" s="71"/>
      <c r="F66" s="4" t="s">
        <v>1</v>
      </c>
      <c r="G66" s="50">
        <f>D66*E66</f>
        <v>0</v>
      </c>
      <c r="H66" s="50">
        <f t="shared" ref="H66" si="28">G66*0.25</f>
        <v>0</v>
      </c>
      <c r="I66" s="50">
        <f t="shared" ref="I66" si="29">SUM(G66:H66)</f>
        <v>0</v>
      </c>
    </row>
    <row r="67" spans="2:9" ht="17.25" x14ac:dyDescent="0.35">
      <c r="B67" s="8" t="s">
        <v>187</v>
      </c>
      <c r="C67" s="8"/>
      <c r="D67" s="8"/>
      <c r="E67" s="8"/>
      <c r="F67" s="8"/>
      <c r="G67" s="55">
        <f>SUM(G63:G66)</f>
        <v>0</v>
      </c>
      <c r="H67" s="55">
        <f>SUM(H63:H66)</f>
        <v>0</v>
      </c>
      <c r="I67" s="55">
        <f>SUM(I63:I66)</f>
        <v>0</v>
      </c>
    </row>
    <row r="68" spans="2:9" ht="27.75" x14ac:dyDescent="0.2">
      <c r="B68" s="61" t="s">
        <v>186</v>
      </c>
      <c r="C68" s="61"/>
      <c r="D68" s="61"/>
      <c r="E68" s="61"/>
      <c r="F68" s="61"/>
      <c r="G68" s="61"/>
      <c r="H68" s="61"/>
      <c r="I68" s="61"/>
    </row>
    <row r="69" spans="2:9" ht="17.25" x14ac:dyDescent="0.2">
      <c r="B69" s="3" t="s">
        <v>188</v>
      </c>
      <c r="C69" s="3"/>
      <c r="D69" s="3"/>
      <c r="E69" s="3"/>
      <c r="F69" s="3"/>
      <c r="G69" s="3" t="s">
        <v>192</v>
      </c>
      <c r="H69" s="3" t="s">
        <v>105</v>
      </c>
      <c r="I69" s="3" t="s">
        <v>193</v>
      </c>
    </row>
    <row r="70" spans="2:9" ht="15" x14ac:dyDescent="0.3">
      <c r="B70" s="62" t="str">
        <f>B$10</f>
        <v>KONSULENTSERVICE</v>
      </c>
      <c r="C70" s="63" t="s">
        <v>106</v>
      </c>
      <c r="D70" s="62"/>
      <c r="E70" s="62"/>
      <c r="F70" s="62"/>
      <c r="G70" s="64">
        <f>G$17</f>
        <v>0</v>
      </c>
      <c r="H70" s="64">
        <f t="shared" ref="H70:I70" si="30">H$17</f>
        <v>0</v>
      </c>
      <c r="I70" s="64">
        <f t="shared" si="30"/>
        <v>0</v>
      </c>
    </row>
    <row r="71" spans="2:9" ht="15" x14ac:dyDescent="0.3">
      <c r="B71" s="62" t="str">
        <f>B$18</f>
        <v>PRØVEFORARBEJDNING</v>
      </c>
      <c r="C71" s="63" t="s">
        <v>106</v>
      </c>
      <c r="D71" s="62"/>
      <c r="E71" s="62"/>
      <c r="F71" s="62"/>
      <c r="G71" s="64">
        <f>G$21</f>
        <v>0</v>
      </c>
      <c r="H71" s="64">
        <f t="shared" ref="H71:I71" si="31">H$21</f>
        <v>0</v>
      </c>
      <c r="I71" s="64">
        <f t="shared" si="31"/>
        <v>0</v>
      </c>
    </row>
    <row r="72" spans="2:9" ht="15" x14ac:dyDescent="0.3">
      <c r="B72" s="62" t="str">
        <f>B$22</f>
        <v>MAKROFOSSILER</v>
      </c>
      <c r="C72" s="63" t="s">
        <v>106</v>
      </c>
      <c r="D72" s="62"/>
      <c r="E72" s="62"/>
      <c r="F72" s="62"/>
      <c r="G72" s="64">
        <f>G$30</f>
        <v>0</v>
      </c>
      <c r="H72" s="64">
        <f>H$30</f>
        <v>0</v>
      </c>
      <c r="I72" s="64">
        <f>I$30</f>
        <v>0</v>
      </c>
    </row>
    <row r="73" spans="2:9" ht="15" x14ac:dyDescent="0.3">
      <c r="B73" s="65" t="str">
        <f>"          KURSORISK"</f>
        <v xml:space="preserve">          KURSORISK</v>
      </c>
      <c r="C73" s="65"/>
      <c r="D73" s="65"/>
      <c r="E73" s="65"/>
      <c r="F73" s="65"/>
      <c r="G73" s="66">
        <f>SUM(G$23:G$28)</f>
        <v>0</v>
      </c>
      <c r="H73" s="66">
        <f>SUM(H$23:H$28)</f>
        <v>0</v>
      </c>
      <c r="I73" s="66">
        <f>SUM(I$23:I$28)</f>
        <v>0</v>
      </c>
    </row>
    <row r="74" spans="2:9" ht="15" x14ac:dyDescent="0.3">
      <c r="B74" s="65" t="str">
        <f>"          ANALYSE"</f>
        <v xml:space="preserve">          ANALYSE</v>
      </c>
      <c r="C74" s="65"/>
      <c r="D74" s="65"/>
      <c r="E74" s="65"/>
      <c r="F74" s="65"/>
      <c r="G74" s="66">
        <f>SUM(G$29:G$29)</f>
        <v>0</v>
      </c>
      <c r="H74" s="66">
        <f>SUM(H$29:H$29)</f>
        <v>0</v>
      </c>
      <c r="I74" s="66">
        <f>SUM(I$29:I$29)</f>
        <v>0</v>
      </c>
    </row>
    <row r="75" spans="2:9" ht="15" x14ac:dyDescent="0.3">
      <c r="B75" s="62" t="str">
        <f>B$31</f>
        <v>UDTAGNING TIL 14C-DATERING</v>
      </c>
      <c r="C75" s="63" t="s">
        <v>106</v>
      </c>
      <c r="D75" s="62"/>
      <c r="E75" s="62"/>
      <c r="F75" s="62"/>
      <c r="G75" s="64">
        <f>G$39</f>
        <v>0</v>
      </c>
      <c r="H75" s="64">
        <f t="shared" ref="H75:I75" si="32">H$39</f>
        <v>0</v>
      </c>
      <c r="I75" s="64">
        <f t="shared" si="32"/>
        <v>0</v>
      </c>
    </row>
    <row r="76" spans="2:9" ht="15" x14ac:dyDescent="0.3">
      <c r="B76" s="62" t="str">
        <f>B$40</f>
        <v>TRÆKUL</v>
      </c>
      <c r="C76" s="63" t="s">
        <v>106</v>
      </c>
      <c r="D76" s="62"/>
      <c r="E76" s="62"/>
      <c r="F76" s="62"/>
      <c r="G76" s="64">
        <f>G$45</f>
        <v>0</v>
      </c>
      <c r="H76" s="64">
        <f t="shared" ref="H76:I76" si="33">H$45</f>
        <v>0</v>
      </c>
      <c r="I76" s="64">
        <f t="shared" si="33"/>
        <v>0</v>
      </c>
    </row>
    <row r="77" spans="2:9" ht="15" x14ac:dyDescent="0.3">
      <c r="B77" s="65" t="str">
        <f>"          KURSORISK"</f>
        <v xml:space="preserve">          KURSORISK</v>
      </c>
      <c r="C77" s="65"/>
      <c r="D77" s="65"/>
      <c r="E77" s="65"/>
      <c r="F77" s="65"/>
      <c r="G77" s="66">
        <f>SUM(G$41:G$42)</f>
        <v>0</v>
      </c>
      <c r="H77" s="66">
        <f t="shared" ref="H77:I77" si="34">SUM(H$41:H$42)</f>
        <v>0</v>
      </c>
      <c r="I77" s="66">
        <f t="shared" si="34"/>
        <v>0</v>
      </c>
    </row>
    <row r="78" spans="2:9" ht="15" x14ac:dyDescent="0.3">
      <c r="B78" s="65" t="str">
        <f>"          ANALYSE"</f>
        <v xml:space="preserve">          ANALYSE</v>
      </c>
      <c r="C78" s="65"/>
      <c r="D78" s="65"/>
      <c r="E78" s="65"/>
      <c r="F78" s="65"/>
      <c r="G78" s="66">
        <f>SUM(G$43:G$44)</f>
        <v>0</v>
      </c>
      <c r="H78" s="66">
        <f t="shared" ref="H78:I78" si="35">SUM(H$43:H$44)</f>
        <v>0</v>
      </c>
      <c r="I78" s="66">
        <f t="shared" si="35"/>
        <v>0</v>
      </c>
    </row>
    <row r="79" spans="2:9" ht="15" x14ac:dyDescent="0.3">
      <c r="B79" s="62" t="str">
        <f>B$46</f>
        <v>VANDDRUKKENT TRÆ</v>
      </c>
      <c r="C79" s="63" t="s">
        <v>106</v>
      </c>
      <c r="D79" s="62"/>
      <c r="E79" s="62"/>
      <c r="F79" s="62"/>
      <c r="G79" s="64">
        <f>G$51</f>
        <v>0</v>
      </c>
      <c r="H79" s="64">
        <f t="shared" ref="H79:I79" si="36">H$51</f>
        <v>0</v>
      </c>
      <c r="I79" s="64">
        <f t="shared" si="36"/>
        <v>0</v>
      </c>
    </row>
    <row r="80" spans="2:9" ht="15" x14ac:dyDescent="0.3">
      <c r="B80" s="62" t="str">
        <f>B$52</f>
        <v>DENDROKRONOLOGI</v>
      </c>
      <c r="C80" s="63" t="s">
        <v>106</v>
      </c>
      <c r="D80" s="62"/>
      <c r="E80" s="62"/>
      <c r="F80" s="62"/>
      <c r="G80" s="64">
        <f>G58</f>
        <v>0</v>
      </c>
      <c r="H80" s="64">
        <f>H58</f>
        <v>0</v>
      </c>
      <c r="I80" s="64">
        <f>I58</f>
        <v>0</v>
      </c>
    </row>
    <row r="81" spans="2:9" ht="15" x14ac:dyDescent="0.3">
      <c r="B81" s="65" t="str">
        <f>"          KURSORISK"</f>
        <v xml:space="preserve">          KURSORISK</v>
      </c>
      <c r="C81" s="63"/>
      <c r="D81" s="62"/>
      <c r="E81" s="62"/>
      <c r="F81" s="62"/>
      <c r="G81" s="66">
        <f>SUM(G$53:G$54)</f>
        <v>0</v>
      </c>
      <c r="H81" s="66">
        <f t="shared" ref="H81:I81" si="37">SUM(H$53:H$54)</f>
        <v>0</v>
      </c>
      <c r="I81" s="66">
        <f t="shared" si="37"/>
        <v>0</v>
      </c>
    </row>
    <row r="82" spans="2:9" ht="15" x14ac:dyDescent="0.3">
      <c r="B82" s="65" t="str">
        <f>"          DATERING"</f>
        <v xml:space="preserve">          DATERING</v>
      </c>
      <c r="C82" s="63"/>
      <c r="D82" s="62"/>
      <c r="E82" s="62"/>
      <c r="F82" s="62"/>
      <c r="G82" s="66">
        <f>SUM(G$55:G$57)</f>
        <v>0</v>
      </c>
      <c r="H82" s="66">
        <f t="shared" ref="H82:I82" si="38">SUM(H$55:H$57)</f>
        <v>0</v>
      </c>
      <c r="I82" s="66">
        <f t="shared" si="38"/>
        <v>0</v>
      </c>
    </row>
    <row r="83" spans="2:9" ht="15" x14ac:dyDescent="0.3">
      <c r="B83" s="62" t="str">
        <f>B$59</f>
        <v>TEFRA</v>
      </c>
      <c r="C83" s="63" t="s">
        <v>106</v>
      </c>
      <c r="D83" s="62"/>
      <c r="E83" s="62"/>
      <c r="F83" s="62"/>
      <c r="G83" s="64">
        <f>G$61</f>
        <v>0</v>
      </c>
      <c r="H83" s="64">
        <f t="shared" ref="H83:I83" si="39">H$61</f>
        <v>0</v>
      </c>
      <c r="I83" s="64">
        <f t="shared" si="39"/>
        <v>0</v>
      </c>
    </row>
    <row r="84" spans="2:9" ht="15" x14ac:dyDescent="0.3">
      <c r="B84" s="67" t="str">
        <f>B$62</f>
        <v>FORSENDELSE MM.</v>
      </c>
      <c r="C84" s="68" t="s">
        <v>106</v>
      </c>
      <c r="D84" s="13"/>
      <c r="E84" s="67"/>
      <c r="F84" s="67"/>
      <c r="G84" s="64">
        <f>G$67</f>
        <v>0</v>
      </c>
      <c r="H84" s="64">
        <f>H$67</f>
        <v>0</v>
      </c>
      <c r="I84" s="64">
        <f t="shared" ref="I84" si="40">I$67</f>
        <v>0</v>
      </c>
    </row>
    <row r="85" spans="2:9" ht="15" x14ac:dyDescent="0.3">
      <c r="B85" s="69" t="s">
        <v>187</v>
      </c>
      <c r="C85" s="70"/>
      <c r="D85" s="70"/>
      <c r="E85" s="70"/>
      <c r="F85" s="70"/>
      <c r="G85" s="14">
        <f>SUMIF($C$70:$C$84,"SUM",G$70:G$84)</f>
        <v>0</v>
      </c>
      <c r="H85" s="14">
        <f>SUMIF($C$70:$C$84,"SUM",H$70:H$84)</f>
        <v>0</v>
      </c>
      <c r="I85" s="14">
        <f>SUMIF($C$70:$C$84,"SUM",I$70:I$84)</f>
        <v>0</v>
      </c>
    </row>
    <row r="86" spans="2:9" ht="12" customHeight="1" x14ac:dyDescent="0.2">
      <c r="B86" s="43"/>
      <c r="C86" s="43"/>
      <c r="D86" s="43"/>
      <c r="E86" s="43"/>
      <c r="F86" s="43"/>
      <c r="G86" s="43"/>
      <c r="H86" s="43"/>
      <c r="I86" s="43"/>
    </row>
    <row r="87" spans="2:9" x14ac:dyDescent="0.2"/>
    <row r="88" spans="2:9" x14ac:dyDescent="0.2"/>
    <row r="89" spans="2:9" x14ac:dyDescent="0.2"/>
    <row r="90" spans="2:9" x14ac:dyDescent="0.2"/>
    <row r="91" spans="2:9" x14ac:dyDescent="0.2"/>
    <row r="92" spans="2:9" x14ac:dyDescent="0.2"/>
    <row r="93" spans="2:9" x14ac:dyDescent="0.2"/>
    <row r="94" spans="2:9" ht="11.25" hidden="1" customHeight="1" x14ac:dyDescent="0.2"/>
    <row r="95" spans="2:9" x14ac:dyDescent="0.2"/>
    <row r="96" spans="2:9"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row r="114" x14ac:dyDescent="0.2"/>
    <row r="115" x14ac:dyDescent="0.2"/>
    <row r="116" x14ac:dyDescent="0.2"/>
    <row r="117" x14ac:dyDescent="0.2"/>
    <row r="118" x14ac:dyDescent="0.2"/>
    <row r="119" x14ac:dyDescent="0.2"/>
    <row r="120" x14ac:dyDescent="0.2"/>
    <row r="121" x14ac:dyDescent="0.2"/>
    <row r="122" x14ac:dyDescent="0.2"/>
    <row r="123" x14ac:dyDescent="0.2"/>
    <row r="124" x14ac:dyDescent="0.2"/>
    <row r="125" x14ac:dyDescent="0.2"/>
    <row r="126" x14ac:dyDescent="0.2"/>
    <row r="127" x14ac:dyDescent="0.2"/>
    <row r="128"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row r="149" x14ac:dyDescent="0.2"/>
    <row r="150" x14ac:dyDescent="0.2"/>
    <row r="151" x14ac:dyDescent="0.2"/>
    <row r="152" x14ac:dyDescent="0.2"/>
    <row r="154" x14ac:dyDescent="0.2"/>
    <row r="155" x14ac:dyDescent="0.2"/>
    <row r="156" x14ac:dyDescent="0.2"/>
    <row r="157" x14ac:dyDescent="0.2"/>
    <row r="158" x14ac:dyDescent="0.2"/>
    <row r="159" x14ac:dyDescent="0.2"/>
    <row r="160" x14ac:dyDescent="0.2"/>
    <row r="161" x14ac:dyDescent="0.2"/>
    <row r="162" x14ac:dyDescent="0.2"/>
    <row r="163" x14ac:dyDescent="0.2"/>
    <row r="164" x14ac:dyDescent="0.2"/>
    <row r="165" x14ac:dyDescent="0.2"/>
    <row r="166" x14ac:dyDescent="0.2"/>
  </sheetData>
  <sheetProtection algorithmName="SHA-512" hashValue="kMxE/3ZdaEuqH5x4AAle8jMsPCj+rrl6EQg3euWkU43jsRuIxPKGHSYYeiFWV2SznqI4xbxUB4QohnGXYbrOmw==" saltValue="L1T31odHL/9SuJUrskKYXw==" spinCount="100000" sheet="1" objects="1" scenarios="1"/>
  <mergeCells count="1">
    <mergeCell ref="G8:H8"/>
  </mergeCells>
  <dataValidations count="2">
    <dataValidation type="decimal" allowBlank="1" showInputMessage="1" showErrorMessage="1" errorTitle="Antal enheder" error="Indtast antallet af prøver, timer eller andre enheder." sqref="E19:E20 E11:E15 E24:E29 E42:E43 E54 E56:E57 E60 E32:E38 E63:E66" xr:uid="{1E38F204-8245-46E4-8189-E3245BC0DB1C}">
      <formula1>0</formula1>
      <formula2>1000</formula2>
    </dataValidation>
    <dataValidation allowBlank="1" showInputMessage="1" showErrorMessage="1" errorTitle="Antal enheder" error="Indtast antallet af prøver, timer eller andre enheder." sqref="E16" xr:uid="{FA5305F0-C264-44D4-938D-56F9937044DF}"/>
  </dataValidations>
  <pageMargins left="0.25" right="0.25" top="0.75" bottom="0.75" header="0.3" footer="0.3"/>
  <pageSetup paperSize="9" scale="45" fitToHeight="0" orientation="portrait" r:id="rId1"/>
  <ignoredErrors>
    <ignoredError sqref="G55"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xdr:col>
                    <xdr:colOff>3295650</xdr:colOff>
                    <xdr:row>22</xdr:row>
                    <xdr:rowOff>0</xdr:rowOff>
                  </from>
                  <to>
                    <xdr:col>2</xdr:col>
                    <xdr:colOff>257175</xdr:colOff>
                    <xdr:row>23</xdr:row>
                    <xdr:rowOff>19050</xdr:rowOff>
                  </to>
                </anchor>
              </controlPr>
            </control>
          </mc:Choice>
        </mc:AlternateContent>
        <mc:AlternateContent xmlns:mc="http://schemas.openxmlformats.org/markup-compatibility/2006">
          <mc:Choice Requires="x14">
            <control shapeId="4101" r:id="rId5" name="Check Box 5">
              <controlPr defaultSize="0" autoFill="0" autoLine="0" autoPict="0">
                <anchor moveWithCells="1">
                  <from>
                    <xdr:col>1</xdr:col>
                    <xdr:colOff>3305175</xdr:colOff>
                    <xdr:row>52</xdr:row>
                    <xdr:rowOff>9525</xdr:rowOff>
                  </from>
                  <to>
                    <xdr:col>2</xdr:col>
                    <xdr:colOff>257175</xdr:colOff>
                    <xdr:row>53</xdr:row>
                    <xdr:rowOff>28575</xdr:rowOff>
                  </to>
                </anchor>
              </controlPr>
            </control>
          </mc:Choice>
        </mc:AlternateContent>
        <mc:AlternateContent xmlns:mc="http://schemas.openxmlformats.org/markup-compatibility/2006">
          <mc:Choice Requires="x14">
            <control shapeId="4102" r:id="rId6" name="Check Box 6">
              <controlPr locked="0" defaultSize="0" autoFill="0" autoLine="0" autoPict="0">
                <anchor moveWithCells="1">
                  <from>
                    <xdr:col>1</xdr:col>
                    <xdr:colOff>3305175</xdr:colOff>
                    <xdr:row>46</xdr:row>
                    <xdr:rowOff>9525</xdr:rowOff>
                  </from>
                  <to>
                    <xdr:col>2</xdr:col>
                    <xdr:colOff>257175</xdr:colOff>
                    <xdr:row>47</xdr:row>
                    <xdr:rowOff>28575</xdr:rowOff>
                  </to>
                </anchor>
              </controlPr>
            </control>
          </mc:Choice>
        </mc:AlternateContent>
        <mc:AlternateContent xmlns:mc="http://schemas.openxmlformats.org/markup-compatibility/2006">
          <mc:Choice Requires="x14">
            <control shapeId="4099" r:id="rId7" name="Check Box 3">
              <controlPr locked="0" defaultSize="0" autoFill="0" autoLine="0" autoPict="0">
                <anchor moveWithCells="1">
                  <from>
                    <xdr:col>1</xdr:col>
                    <xdr:colOff>3305175</xdr:colOff>
                    <xdr:row>40</xdr:row>
                    <xdr:rowOff>9525</xdr:rowOff>
                  </from>
                  <to>
                    <xdr:col>2</xdr:col>
                    <xdr:colOff>257175</xdr:colOff>
                    <xdr:row>41</xdr:row>
                    <xdr:rowOff>28575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4030D-602C-405C-AA1F-6A2DEC6C489A}">
  <sheetPr codeName="Ark5">
    <tabColor theme="2" tint="-0.499984740745262"/>
    <pageSetUpPr fitToPage="1"/>
  </sheetPr>
  <dimension ref="B1:N111"/>
  <sheetViews>
    <sheetView showGridLines="0" zoomScaleNormal="100" zoomScaleSheetLayoutView="50" zoomScalePageLayoutView="70" workbookViewId="0">
      <selection activeCell="C9" sqref="C9"/>
    </sheetView>
  </sheetViews>
  <sheetFormatPr defaultColWidth="0" defaultRowHeight="12.75" zeroHeight="1" x14ac:dyDescent="0.2"/>
  <cols>
    <col min="1" max="1" width="5.7109375" customWidth="1"/>
    <col min="2" max="2" width="30.140625" customWidth="1"/>
    <col min="3" max="3" width="64" customWidth="1"/>
    <col min="4" max="4" width="23.28515625" customWidth="1"/>
    <col min="5" max="5" width="20.5703125" customWidth="1"/>
    <col min="6" max="6" width="29.42578125" customWidth="1"/>
    <col min="7" max="7" width="29.5703125" customWidth="1"/>
    <col min="8" max="8" width="5.7109375" customWidth="1"/>
    <col min="9" max="9" width="19.7109375" hidden="1" customWidth="1"/>
    <col min="10" max="10" width="39.7109375" hidden="1" customWidth="1"/>
    <col min="11" max="11" width="82.5703125" hidden="1" customWidth="1"/>
    <col min="12" max="12" width="74.85546875" hidden="1" customWidth="1"/>
    <col min="13" max="13" width="20.28515625" hidden="1" customWidth="1"/>
    <col min="14" max="14" width="12.7109375" hidden="1" customWidth="1"/>
    <col min="15" max="15" width="0" hidden="1" customWidth="1"/>
  </cols>
  <sheetData>
    <row r="1" spans="2:7" ht="22.5" customHeight="1" x14ac:dyDescent="0.2"/>
    <row r="2" spans="2:7" ht="12.75" customHeight="1" x14ac:dyDescent="0.2">
      <c r="B2" s="77"/>
      <c r="C2" s="77"/>
      <c r="D2" s="77"/>
      <c r="E2" s="77"/>
      <c r="F2" s="77"/>
      <c r="G2" s="75"/>
    </row>
    <row r="3" spans="2:7" ht="29.25" customHeight="1" x14ac:dyDescent="0.6">
      <c r="B3" s="78" t="s">
        <v>198</v>
      </c>
      <c r="C3" s="78"/>
      <c r="D3" s="79"/>
      <c r="E3" s="80"/>
      <c r="F3" s="81"/>
      <c r="G3" s="81" t="e" vm="1">
        <v>#VALUE!</v>
      </c>
    </row>
    <row r="4" spans="2:7" ht="60" customHeight="1" x14ac:dyDescent="0.35">
      <c r="B4" s="114" t="s">
        <v>264</v>
      </c>
      <c r="C4" s="114"/>
      <c r="D4" s="114"/>
      <c r="E4" s="114"/>
      <c r="F4" s="82"/>
      <c r="G4" s="76"/>
    </row>
    <row r="5" spans="2:7" ht="22.5" customHeight="1" x14ac:dyDescent="0.35">
      <c r="B5" s="83" t="s">
        <v>261</v>
      </c>
      <c r="C5" s="83"/>
      <c r="D5" s="83"/>
      <c r="E5" s="83"/>
      <c r="F5" s="82" t="s">
        <v>57</v>
      </c>
      <c r="G5" s="82">
        <v>750</v>
      </c>
    </row>
    <row r="6" spans="2:7" ht="17.25" x14ac:dyDescent="0.2">
      <c r="B6" s="3" t="s">
        <v>180</v>
      </c>
      <c r="C6" s="3" t="s">
        <v>181</v>
      </c>
      <c r="D6" s="3" t="s">
        <v>182</v>
      </c>
      <c r="E6" s="15" t="s">
        <v>199</v>
      </c>
      <c r="F6" s="15" t="s">
        <v>200</v>
      </c>
      <c r="G6" s="3"/>
    </row>
    <row r="7" spans="2:7" ht="22.5" x14ac:dyDescent="0.45">
      <c r="B7" s="84" t="s">
        <v>222</v>
      </c>
      <c r="C7" s="84"/>
      <c r="D7" s="84"/>
      <c r="E7" s="85"/>
      <c r="F7" s="84"/>
      <c r="G7" s="84"/>
    </row>
    <row r="8" spans="2:7" ht="15" x14ac:dyDescent="0.2">
      <c r="B8" s="4" t="s">
        <v>0</v>
      </c>
      <c r="C8" s="4" t="s">
        <v>47</v>
      </c>
      <c r="D8" s="4"/>
      <c r="E8" s="12"/>
      <c r="F8" s="9">
        <f>$G$5</f>
        <v>750</v>
      </c>
      <c r="G8" s="4" t="s">
        <v>29</v>
      </c>
    </row>
    <row r="9" spans="2:7" ht="15" x14ac:dyDescent="0.2">
      <c r="B9" s="5" t="s">
        <v>2</v>
      </c>
      <c r="C9" s="5" t="s">
        <v>38</v>
      </c>
      <c r="D9" s="5"/>
      <c r="E9" s="11"/>
      <c r="F9" s="10">
        <f t="shared" ref="F9" si="0">$G$5</f>
        <v>750</v>
      </c>
      <c r="G9" s="5" t="s">
        <v>29</v>
      </c>
    </row>
    <row r="10" spans="2:7" ht="15" x14ac:dyDescent="0.2">
      <c r="B10" s="4" t="s">
        <v>3</v>
      </c>
      <c r="C10" s="4" t="s">
        <v>39</v>
      </c>
      <c r="D10" s="4"/>
      <c r="E10" s="12"/>
      <c r="F10" s="9">
        <f>$G$5</f>
        <v>750</v>
      </c>
      <c r="G10" s="4" t="s">
        <v>29</v>
      </c>
    </row>
    <row r="11" spans="2:7" ht="15" x14ac:dyDescent="0.2">
      <c r="B11" s="5" t="s">
        <v>4</v>
      </c>
      <c r="C11" s="5" t="s">
        <v>126</v>
      </c>
      <c r="D11" s="5"/>
      <c r="E11" s="11"/>
      <c r="F11" s="10">
        <v>3.94</v>
      </c>
      <c r="G11" s="5" t="s">
        <v>30</v>
      </c>
    </row>
    <row r="12" spans="2:7" ht="15" x14ac:dyDescent="0.2">
      <c r="B12" s="4" t="s">
        <v>6</v>
      </c>
      <c r="C12" s="4" t="s">
        <v>127</v>
      </c>
      <c r="D12" s="4"/>
      <c r="E12" s="12"/>
      <c r="F12" s="9">
        <v>100</v>
      </c>
      <c r="G12" s="4" t="s">
        <v>20</v>
      </c>
    </row>
    <row r="13" spans="2:7" ht="22.5" x14ac:dyDescent="0.45">
      <c r="B13" s="84" t="s">
        <v>60</v>
      </c>
      <c r="C13" s="84"/>
      <c r="D13" s="84"/>
      <c r="E13" s="85"/>
      <c r="F13" s="86"/>
      <c r="G13" s="84"/>
    </row>
    <row r="14" spans="2:7" ht="15" x14ac:dyDescent="0.2">
      <c r="B14" s="4" t="s">
        <v>43</v>
      </c>
      <c r="C14" s="4"/>
      <c r="D14" s="4"/>
      <c r="E14" s="12"/>
      <c r="F14" s="9">
        <f>$G$5*2</f>
        <v>1500</v>
      </c>
      <c r="G14" s="4" t="s">
        <v>32</v>
      </c>
    </row>
    <row r="15" spans="2:7" ht="15" x14ac:dyDescent="0.2">
      <c r="B15" s="5" t="s">
        <v>136</v>
      </c>
      <c r="C15" s="5" t="s">
        <v>38</v>
      </c>
      <c r="D15" s="5"/>
      <c r="E15" s="11">
        <v>6</v>
      </c>
      <c r="F15" s="10">
        <f>$G$5*E15</f>
        <v>4500</v>
      </c>
      <c r="G15" s="5" t="s">
        <v>61</v>
      </c>
    </row>
    <row r="16" spans="2:7" ht="15" x14ac:dyDescent="0.2">
      <c r="B16" s="4" t="s">
        <v>137</v>
      </c>
      <c r="C16" s="4" t="s">
        <v>38</v>
      </c>
      <c r="D16" s="4"/>
      <c r="E16" s="12">
        <v>4</v>
      </c>
      <c r="F16" s="9">
        <f>$G$5*E16</f>
        <v>3000</v>
      </c>
      <c r="G16" s="4" t="s">
        <v>61</v>
      </c>
    </row>
    <row r="17" spans="2:7" ht="15" x14ac:dyDescent="0.2">
      <c r="B17" s="5" t="s">
        <v>4</v>
      </c>
      <c r="C17" s="5" t="s">
        <v>126</v>
      </c>
      <c r="D17" s="5"/>
      <c r="E17" s="11"/>
      <c r="F17" s="10">
        <v>3.94</v>
      </c>
      <c r="G17" s="5" t="s">
        <v>30</v>
      </c>
    </row>
    <row r="18" spans="2:7" ht="22.5" x14ac:dyDescent="0.45">
      <c r="B18" s="84" t="s">
        <v>62</v>
      </c>
      <c r="C18" s="84"/>
      <c r="D18" s="84"/>
      <c r="E18" s="85"/>
      <c r="F18" s="84"/>
      <c r="G18" s="84"/>
    </row>
    <row r="19" spans="2:7" ht="15" x14ac:dyDescent="0.2">
      <c r="B19" s="4" t="s">
        <v>43</v>
      </c>
      <c r="C19" s="4"/>
      <c r="D19" s="4"/>
      <c r="E19" s="12"/>
      <c r="F19" s="9">
        <f>$G$5*2</f>
        <v>1500</v>
      </c>
      <c r="G19" s="4" t="s">
        <v>32</v>
      </c>
    </row>
    <row r="20" spans="2:7" ht="15" x14ac:dyDescent="0.2">
      <c r="B20" s="5" t="s">
        <v>63</v>
      </c>
      <c r="C20" s="5"/>
      <c r="D20" s="5" t="s">
        <v>138</v>
      </c>
      <c r="E20" s="11">
        <v>0.5</v>
      </c>
      <c r="F20" s="10">
        <f>$G$5*E20</f>
        <v>375</v>
      </c>
      <c r="G20" s="5" t="s">
        <v>64</v>
      </c>
    </row>
    <row r="21" spans="2:7" ht="15" x14ac:dyDescent="0.2">
      <c r="B21" s="5"/>
      <c r="C21" s="5"/>
      <c r="D21" s="5" t="s">
        <v>139</v>
      </c>
      <c r="E21" s="11">
        <v>0.25</v>
      </c>
      <c r="F21" s="10">
        <f>$G$5*E21</f>
        <v>187.5</v>
      </c>
      <c r="G21" s="5" t="s">
        <v>64</v>
      </c>
    </row>
    <row r="22" spans="2:7" ht="15" x14ac:dyDescent="0.2">
      <c r="B22" s="4" t="s">
        <v>65</v>
      </c>
      <c r="C22" s="4" t="s">
        <v>140</v>
      </c>
      <c r="D22" s="4"/>
      <c r="E22" s="12">
        <v>1.65</v>
      </c>
      <c r="F22" s="9">
        <f>$G$5*E22</f>
        <v>1237.5</v>
      </c>
      <c r="G22" s="4" t="s">
        <v>64</v>
      </c>
    </row>
    <row r="23" spans="2:7" ht="15" x14ac:dyDescent="0.2">
      <c r="B23" s="4"/>
      <c r="C23" s="4" t="s">
        <v>143</v>
      </c>
      <c r="D23" s="4"/>
      <c r="E23" s="12"/>
      <c r="F23" s="9" t="s">
        <v>144</v>
      </c>
      <c r="G23" s="4"/>
    </row>
    <row r="24" spans="2:7" ht="15" x14ac:dyDescent="0.2">
      <c r="B24" s="4"/>
      <c r="C24" s="4" t="s">
        <v>142</v>
      </c>
      <c r="D24" s="4" t="s">
        <v>138</v>
      </c>
      <c r="E24" s="12">
        <v>0.65</v>
      </c>
      <c r="F24" s="9">
        <f>$G$5*E24</f>
        <v>487.5</v>
      </c>
      <c r="G24" s="4" t="s">
        <v>64</v>
      </c>
    </row>
    <row r="25" spans="2:7" ht="15" x14ac:dyDescent="0.2">
      <c r="B25" s="4"/>
      <c r="C25" s="4"/>
      <c r="D25" s="4" t="s">
        <v>139</v>
      </c>
      <c r="E25" s="12">
        <v>0.5</v>
      </c>
      <c r="F25" s="9">
        <f>$G$5*E25</f>
        <v>375</v>
      </c>
      <c r="G25" s="4" t="s">
        <v>64</v>
      </c>
    </row>
    <row r="26" spans="2:7" ht="15" x14ac:dyDescent="0.2">
      <c r="B26" s="5" t="s">
        <v>66</v>
      </c>
      <c r="C26" s="5" t="s">
        <v>147</v>
      </c>
      <c r="D26" s="5"/>
      <c r="E26" s="11"/>
      <c r="F26" s="10" t="s">
        <v>144</v>
      </c>
      <c r="G26" s="5"/>
    </row>
    <row r="27" spans="2:7" ht="22.5" x14ac:dyDescent="0.45">
      <c r="B27" s="84" t="s">
        <v>145</v>
      </c>
      <c r="C27" s="84"/>
      <c r="D27" s="84"/>
      <c r="E27" s="85"/>
      <c r="F27" s="86"/>
      <c r="G27" s="84"/>
    </row>
    <row r="28" spans="2:7" ht="15" x14ac:dyDescent="0.2">
      <c r="B28" s="4" t="s">
        <v>43</v>
      </c>
      <c r="C28" s="4"/>
      <c r="D28" s="4"/>
      <c r="E28" s="12"/>
      <c r="F28" s="9">
        <f>$G$5*2.5</f>
        <v>1875</v>
      </c>
      <c r="G28" s="4" t="s">
        <v>32</v>
      </c>
    </row>
    <row r="29" spans="2:7" ht="15" x14ac:dyDescent="0.2">
      <c r="B29" s="5" t="s">
        <v>18</v>
      </c>
      <c r="C29" s="5" t="s">
        <v>213</v>
      </c>
      <c r="D29" s="5"/>
      <c r="E29" s="11"/>
      <c r="F29" s="10" t="s">
        <v>144</v>
      </c>
      <c r="G29" s="5"/>
    </row>
    <row r="30" spans="2:7" ht="15" x14ac:dyDescent="0.2">
      <c r="B30" s="4" t="s">
        <v>125</v>
      </c>
      <c r="C30" s="4" t="s">
        <v>164</v>
      </c>
      <c r="D30" s="4"/>
      <c r="E30" s="12"/>
      <c r="F30" s="9" t="s">
        <v>144</v>
      </c>
      <c r="G30" s="4"/>
    </row>
    <row r="31" spans="2:7" ht="22.5" x14ac:dyDescent="0.45">
      <c r="B31" s="84" t="s">
        <v>67</v>
      </c>
      <c r="C31" s="84"/>
      <c r="D31" s="84"/>
      <c r="E31" s="85"/>
      <c r="F31" s="86"/>
      <c r="G31" s="84"/>
    </row>
    <row r="32" spans="2:7" ht="15" x14ac:dyDescent="0.2">
      <c r="B32" s="4" t="s">
        <v>43</v>
      </c>
      <c r="C32" s="4"/>
      <c r="D32" s="4"/>
      <c r="E32" s="12"/>
      <c r="F32" s="9">
        <f>$G$5*2</f>
        <v>1500</v>
      </c>
      <c r="G32" s="4" t="s">
        <v>32</v>
      </c>
    </row>
    <row r="33" spans="2:7" ht="15" x14ac:dyDescent="0.2">
      <c r="B33" s="5" t="s">
        <v>146</v>
      </c>
      <c r="C33" s="5" t="s">
        <v>148</v>
      </c>
      <c r="D33" s="5"/>
      <c r="E33" s="11">
        <v>4</v>
      </c>
      <c r="F33" s="10">
        <f>$G$5*$E33</f>
        <v>3000</v>
      </c>
      <c r="G33" s="5" t="s">
        <v>31</v>
      </c>
    </row>
    <row r="34" spans="2:7" ht="15" x14ac:dyDescent="0.2">
      <c r="B34" s="4" t="s">
        <v>69</v>
      </c>
      <c r="C34" s="4" t="s">
        <v>149</v>
      </c>
      <c r="D34" s="4"/>
      <c r="E34" s="12">
        <v>4</v>
      </c>
      <c r="F34" s="9">
        <f t="shared" ref="F34:F35" si="1">$G$5*$E34</f>
        <v>3000</v>
      </c>
      <c r="G34" s="4" t="s">
        <v>31</v>
      </c>
    </row>
    <row r="35" spans="2:7" ht="15" x14ac:dyDescent="0.2">
      <c r="B35" s="5" t="s">
        <v>70</v>
      </c>
      <c r="C35" s="5" t="s">
        <v>150</v>
      </c>
      <c r="D35" s="5"/>
      <c r="E35" s="11">
        <v>4</v>
      </c>
      <c r="F35" s="10">
        <f t="shared" si="1"/>
        <v>3000</v>
      </c>
      <c r="G35" s="5" t="s">
        <v>31</v>
      </c>
    </row>
    <row r="36" spans="2:7" ht="15" x14ac:dyDescent="0.2">
      <c r="B36" s="4" t="s">
        <v>71</v>
      </c>
      <c r="C36" s="4" t="s">
        <v>212</v>
      </c>
      <c r="D36" s="4"/>
      <c r="E36" s="12"/>
      <c r="F36" s="9">
        <f>840*7.5</f>
        <v>6300</v>
      </c>
      <c r="G36" s="4" t="s">
        <v>31</v>
      </c>
    </row>
    <row r="37" spans="2:7" ht="15" x14ac:dyDescent="0.2">
      <c r="B37" s="4"/>
      <c r="C37" s="4" t="s">
        <v>211</v>
      </c>
      <c r="D37" s="4" t="s">
        <v>176</v>
      </c>
      <c r="E37" s="12">
        <v>7</v>
      </c>
      <c r="F37" s="9">
        <f>$G$5*$E37</f>
        <v>5250</v>
      </c>
      <c r="G37" s="4" t="s">
        <v>31</v>
      </c>
    </row>
    <row r="38" spans="2:7" ht="15" x14ac:dyDescent="0.2">
      <c r="B38" s="4"/>
      <c r="C38" s="4"/>
      <c r="D38" s="4" t="s">
        <v>175</v>
      </c>
      <c r="E38" s="12"/>
      <c r="F38" s="4" t="s">
        <v>144</v>
      </c>
      <c r="G38" s="4"/>
    </row>
    <row r="39" spans="2:7" ht="45" customHeight="1" x14ac:dyDescent="0.2">
      <c r="B39" s="115" t="s">
        <v>231</v>
      </c>
      <c r="C39" s="115"/>
      <c r="D39" s="115"/>
      <c r="E39" s="115"/>
      <c r="F39" s="115"/>
      <c r="G39" s="115"/>
    </row>
    <row r="40" spans="2:7" ht="15" x14ac:dyDescent="0.2">
      <c r="B40" s="4" t="s">
        <v>43</v>
      </c>
      <c r="C40" s="4"/>
      <c r="D40" s="4"/>
      <c r="E40" s="12"/>
      <c r="F40" s="9">
        <f>$G$5*2</f>
        <v>1500</v>
      </c>
      <c r="G40" s="4" t="s">
        <v>32</v>
      </c>
    </row>
    <row r="41" spans="2:7" ht="15" x14ac:dyDescent="0.2">
      <c r="B41" s="5" t="s">
        <v>158</v>
      </c>
      <c r="C41" s="5" t="s">
        <v>72</v>
      </c>
      <c r="D41" s="5"/>
      <c r="E41" s="11">
        <v>9</v>
      </c>
      <c r="F41" s="10">
        <f>$G$5*E41</f>
        <v>6750</v>
      </c>
      <c r="G41" s="5" t="s">
        <v>64</v>
      </c>
    </row>
    <row r="42" spans="2:7" ht="15" x14ac:dyDescent="0.2">
      <c r="B42" s="5"/>
      <c r="C42" s="5" t="s">
        <v>73</v>
      </c>
      <c r="D42" s="5"/>
      <c r="E42" s="11">
        <v>6</v>
      </c>
      <c r="F42" s="10">
        <f>$G$5*E42</f>
        <v>4500</v>
      </c>
      <c r="G42" s="5" t="s">
        <v>64</v>
      </c>
    </row>
    <row r="43" spans="2:7" ht="15" x14ac:dyDescent="0.2">
      <c r="B43" s="5"/>
      <c r="C43" s="5" t="s">
        <v>74</v>
      </c>
      <c r="D43" s="5"/>
      <c r="E43" s="11">
        <v>10</v>
      </c>
      <c r="F43" s="10">
        <f t="shared" ref="F43:F63" si="2">$G$5*E43</f>
        <v>7500</v>
      </c>
      <c r="G43" s="5" t="s">
        <v>64</v>
      </c>
    </row>
    <row r="44" spans="2:7" ht="15" x14ac:dyDescent="0.2">
      <c r="B44" s="5"/>
      <c r="C44" s="5" t="s">
        <v>75</v>
      </c>
      <c r="D44" s="5"/>
      <c r="E44" s="11">
        <v>16</v>
      </c>
      <c r="F44" s="10">
        <f t="shared" si="2"/>
        <v>12000</v>
      </c>
      <c r="G44" s="5" t="s">
        <v>64</v>
      </c>
    </row>
    <row r="45" spans="2:7" ht="15" x14ac:dyDescent="0.2">
      <c r="B45" s="4" t="s">
        <v>76</v>
      </c>
      <c r="C45" s="4" t="s">
        <v>156</v>
      </c>
      <c r="D45" s="4"/>
      <c r="E45" s="12">
        <v>12</v>
      </c>
      <c r="F45" s="9">
        <f t="shared" si="2"/>
        <v>9000</v>
      </c>
      <c r="G45" s="4" t="s">
        <v>64</v>
      </c>
    </row>
    <row r="46" spans="2:7" ht="15" x14ac:dyDescent="0.2">
      <c r="B46" s="4"/>
      <c r="C46" s="4" t="s">
        <v>77</v>
      </c>
      <c r="D46" s="4"/>
      <c r="E46" s="12">
        <v>8</v>
      </c>
      <c r="F46" s="9">
        <f t="shared" si="2"/>
        <v>6000</v>
      </c>
      <c r="G46" s="4" t="s">
        <v>64</v>
      </c>
    </row>
    <row r="47" spans="2:7" ht="15" x14ac:dyDescent="0.2">
      <c r="B47" s="5" t="s">
        <v>159</v>
      </c>
      <c r="C47" s="5" t="s">
        <v>78</v>
      </c>
      <c r="D47" s="5"/>
      <c r="E47" s="11">
        <v>4</v>
      </c>
      <c r="F47" s="10">
        <f t="shared" si="2"/>
        <v>3000</v>
      </c>
      <c r="G47" s="5" t="s">
        <v>64</v>
      </c>
    </row>
    <row r="48" spans="2:7" ht="15" x14ac:dyDescent="0.2">
      <c r="B48" s="4" t="s">
        <v>79</v>
      </c>
      <c r="C48" s="4" t="s">
        <v>74</v>
      </c>
      <c r="D48" s="4"/>
      <c r="E48" s="12">
        <v>16</v>
      </c>
      <c r="F48" s="9">
        <f t="shared" si="2"/>
        <v>12000</v>
      </c>
      <c r="G48" s="4" t="s">
        <v>64</v>
      </c>
    </row>
    <row r="49" spans="2:7" ht="15" x14ac:dyDescent="0.2">
      <c r="B49" s="4"/>
      <c r="C49" s="4" t="s">
        <v>77</v>
      </c>
      <c r="D49" s="4"/>
      <c r="E49" s="12">
        <v>8</v>
      </c>
      <c r="F49" s="9">
        <f t="shared" si="2"/>
        <v>6000</v>
      </c>
      <c r="G49" s="4" t="s">
        <v>64</v>
      </c>
    </row>
    <row r="50" spans="2:7" ht="15" x14ac:dyDescent="0.2">
      <c r="B50" s="5" t="s">
        <v>151</v>
      </c>
      <c r="C50" s="5"/>
      <c r="D50" s="5" t="s">
        <v>152</v>
      </c>
      <c r="E50" s="11">
        <v>1</v>
      </c>
      <c r="F50" s="10">
        <f t="shared" si="2"/>
        <v>750</v>
      </c>
      <c r="G50" s="5" t="s">
        <v>64</v>
      </c>
    </row>
    <row r="51" spans="2:7" ht="15" x14ac:dyDescent="0.2">
      <c r="B51" s="5"/>
      <c r="C51" s="5"/>
      <c r="D51" s="5" t="s">
        <v>139</v>
      </c>
      <c r="E51" s="11">
        <v>0.5</v>
      </c>
      <c r="F51" s="10">
        <f t="shared" si="2"/>
        <v>375</v>
      </c>
      <c r="G51" s="5" t="s">
        <v>64</v>
      </c>
    </row>
    <row r="52" spans="2:7" ht="15" x14ac:dyDescent="0.2">
      <c r="B52" s="4" t="s">
        <v>153</v>
      </c>
      <c r="C52" s="4"/>
      <c r="D52" s="4" t="s">
        <v>152</v>
      </c>
      <c r="E52" s="12">
        <v>2</v>
      </c>
      <c r="F52" s="9">
        <f t="shared" si="2"/>
        <v>1500</v>
      </c>
      <c r="G52" s="4" t="s">
        <v>64</v>
      </c>
    </row>
    <row r="53" spans="2:7" ht="15" x14ac:dyDescent="0.2">
      <c r="B53" s="4"/>
      <c r="C53" s="4"/>
      <c r="D53" s="4" t="s">
        <v>139</v>
      </c>
      <c r="E53" s="12">
        <v>1</v>
      </c>
      <c r="F53" s="9">
        <f t="shared" si="2"/>
        <v>750</v>
      </c>
      <c r="G53" s="4" t="s">
        <v>64</v>
      </c>
    </row>
    <row r="54" spans="2:7" ht="15" x14ac:dyDescent="0.2">
      <c r="B54" s="5" t="s">
        <v>82</v>
      </c>
      <c r="C54" s="5" t="s">
        <v>83</v>
      </c>
      <c r="D54" s="5"/>
      <c r="E54" s="11">
        <v>30</v>
      </c>
      <c r="F54" s="10">
        <f t="shared" si="2"/>
        <v>22500</v>
      </c>
      <c r="G54" s="5" t="s">
        <v>154</v>
      </c>
    </row>
    <row r="55" spans="2:7" ht="15" x14ac:dyDescent="0.2">
      <c r="B55" s="5"/>
      <c r="C55" s="5" t="s">
        <v>120</v>
      </c>
      <c r="D55" s="5"/>
      <c r="E55" s="11">
        <v>6</v>
      </c>
      <c r="F55" s="10">
        <f t="shared" si="2"/>
        <v>4500</v>
      </c>
      <c r="G55" s="5" t="s">
        <v>154</v>
      </c>
    </row>
    <row r="56" spans="2:7" ht="15" x14ac:dyDescent="0.2">
      <c r="B56" s="5"/>
      <c r="C56" s="5" t="s">
        <v>121</v>
      </c>
      <c r="D56" s="5"/>
      <c r="E56" s="11"/>
      <c r="F56" s="10" t="s">
        <v>144</v>
      </c>
      <c r="G56" s="5"/>
    </row>
    <row r="57" spans="2:7" ht="15" x14ac:dyDescent="0.2">
      <c r="B57" s="4" t="s">
        <v>155</v>
      </c>
      <c r="C57" s="4" t="s">
        <v>84</v>
      </c>
      <c r="D57" s="4"/>
      <c r="E57" s="12">
        <v>2</v>
      </c>
      <c r="F57" s="9">
        <f t="shared" si="2"/>
        <v>1500</v>
      </c>
      <c r="G57" s="4" t="s">
        <v>64</v>
      </c>
    </row>
    <row r="58" spans="2:7" ht="15" hidden="1" x14ac:dyDescent="0.2">
      <c r="B58" s="4"/>
      <c r="C58" s="4" t="s">
        <v>80</v>
      </c>
      <c r="D58" s="4"/>
      <c r="E58" s="12">
        <v>2</v>
      </c>
      <c r="F58" s="9">
        <f t="shared" si="2"/>
        <v>1500</v>
      </c>
      <c r="G58" s="4" t="s">
        <v>64</v>
      </c>
    </row>
    <row r="59" spans="2:7" ht="15" x14ac:dyDescent="0.2">
      <c r="B59" s="4"/>
      <c r="C59" s="4" t="s">
        <v>85</v>
      </c>
      <c r="D59" s="4"/>
      <c r="E59" s="12">
        <v>3</v>
      </c>
      <c r="F59" s="9">
        <f t="shared" si="2"/>
        <v>2250</v>
      </c>
      <c r="G59" s="4" t="s">
        <v>64</v>
      </c>
    </row>
    <row r="60" spans="2:7" ht="15" x14ac:dyDescent="0.2">
      <c r="B60" s="5" t="s">
        <v>157</v>
      </c>
      <c r="C60" s="5" t="s">
        <v>86</v>
      </c>
      <c r="D60" s="5"/>
      <c r="E60" s="11">
        <v>12</v>
      </c>
      <c r="F60" s="10">
        <f t="shared" si="2"/>
        <v>9000</v>
      </c>
      <c r="G60" s="5" t="s">
        <v>64</v>
      </c>
    </row>
    <row r="61" spans="2:7" ht="15" x14ac:dyDescent="0.2">
      <c r="B61" s="4" t="s">
        <v>87</v>
      </c>
      <c r="C61" s="4" t="s">
        <v>88</v>
      </c>
      <c r="D61" s="4"/>
      <c r="E61" s="12">
        <v>24</v>
      </c>
      <c r="F61" s="9">
        <f t="shared" si="2"/>
        <v>18000</v>
      </c>
      <c r="G61" s="4" t="s">
        <v>64</v>
      </c>
    </row>
    <row r="62" spans="2:7" ht="15" x14ac:dyDescent="0.2">
      <c r="B62" s="4"/>
      <c r="C62" s="4" t="s">
        <v>89</v>
      </c>
      <c r="D62" s="4"/>
      <c r="E62" s="12">
        <v>15</v>
      </c>
      <c r="F62" s="9">
        <f t="shared" si="2"/>
        <v>11250</v>
      </c>
      <c r="G62" s="4" t="s">
        <v>64</v>
      </c>
    </row>
    <row r="63" spans="2:7" ht="15" x14ac:dyDescent="0.2">
      <c r="B63" s="5" t="s">
        <v>234</v>
      </c>
      <c r="C63" s="5" t="s">
        <v>235</v>
      </c>
      <c r="D63" s="5"/>
      <c r="E63" s="11">
        <v>2.5</v>
      </c>
      <c r="F63" s="10">
        <f t="shared" si="2"/>
        <v>1875</v>
      </c>
      <c r="G63" s="5" t="s">
        <v>64</v>
      </c>
    </row>
    <row r="64" spans="2:7" ht="22.5" x14ac:dyDescent="0.45">
      <c r="B64" s="84" t="s">
        <v>160</v>
      </c>
      <c r="C64" s="84"/>
      <c r="D64" s="84"/>
      <c r="E64" s="84"/>
      <c r="F64" s="84"/>
      <c r="G64" s="84"/>
    </row>
    <row r="65" spans="2:7" ht="15" x14ac:dyDescent="0.2">
      <c r="B65" s="4" t="s">
        <v>90</v>
      </c>
      <c r="C65" s="4" t="s">
        <v>91</v>
      </c>
      <c r="D65" s="4"/>
      <c r="E65" s="4"/>
      <c r="F65" s="9" t="s">
        <v>144</v>
      </c>
      <c r="G65" s="4"/>
    </row>
    <row r="66" spans="2:7" ht="15" x14ac:dyDescent="0.2">
      <c r="B66" s="4"/>
      <c r="C66" s="4" t="s">
        <v>92</v>
      </c>
      <c r="D66" s="4"/>
      <c r="E66" s="4"/>
      <c r="F66" s="9" t="s">
        <v>144</v>
      </c>
      <c r="G66" s="4"/>
    </row>
    <row r="67" spans="2:7" ht="15" x14ac:dyDescent="0.2">
      <c r="B67" s="5" t="s">
        <v>93</v>
      </c>
      <c r="C67" s="5" t="s">
        <v>94</v>
      </c>
      <c r="D67" s="5"/>
      <c r="E67" s="5"/>
      <c r="F67" s="10" t="s">
        <v>144</v>
      </c>
      <c r="G67" s="5"/>
    </row>
    <row r="68" spans="2:7" ht="15" x14ac:dyDescent="0.2">
      <c r="B68" s="4" t="s">
        <v>95</v>
      </c>
      <c r="C68" s="4" t="s">
        <v>96</v>
      </c>
      <c r="D68" s="4"/>
      <c r="E68" s="4"/>
      <c r="F68" s="9" t="s">
        <v>144</v>
      </c>
      <c r="G68" s="4"/>
    </row>
    <row r="69" spans="2:7" ht="15" x14ac:dyDescent="0.2">
      <c r="B69" s="5" t="s">
        <v>238</v>
      </c>
      <c r="C69" s="5" t="s">
        <v>50</v>
      </c>
      <c r="D69" s="5"/>
      <c r="E69" s="5"/>
      <c r="F69" s="10" t="s">
        <v>144</v>
      </c>
      <c r="G69" s="5"/>
    </row>
    <row r="70" spans="2:7" x14ac:dyDescent="0.2"/>
    <row r="108" ht="15.75" hidden="1" customHeight="1" x14ac:dyDescent="0.2"/>
    <row r="109" ht="15.75" hidden="1" customHeight="1" x14ac:dyDescent="0.2"/>
    <row r="110" ht="12.75" hidden="1" customHeight="1" x14ac:dyDescent="0.2"/>
    <row r="111" ht="12.75" hidden="1" customHeight="1" x14ac:dyDescent="0.2"/>
  </sheetData>
  <sheetProtection algorithmName="SHA-512" hashValue="FjEfUkVksiz4ofNnJjYL52VwkYX81tZzkcof7p0g9Iwn7F/uPE2lRDggao0gbfdStlyJAqhrz/UICjXfCeefUA==" saltValue="lHI2aNw6xhdfeyDAj4+0GQ==" spinCount="100000" sheet="1" objects="1" scenarios="1"/>
  <mergeCells count="2">
    <mergeCell ref="B4:E4"/>
    <mergeCell ref="B39:G39"/>
  </mergeCells>
  <pageMargins left="0.23622047244094491" right="0.23622047244094491" top="0.74803149606299213" bottom="0.74803149606299213" header="0.31496062992125984" footer="0.31496062992125984"/>
  <pageSetup paperSize="9" scale="71" fitToHeight="0" orientation="landscape" r:id="rId1"/>
  <headerFooter>
    <oddFooter>&amp;C&amp;A (Side &amp;P)</oddFooter>
  </headerFooter>
  <colBreaks count="1" manualBreakCount="1">
    <brk id="7" max="1048575" man="1"/>
  </colBreaks>
  <ignoredErrors>
    <ignoredError sqref="F36"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4B5F7-14AC-4014-9E91-9C747C85BF66}">
  <sheetPr codeName="Ark6">
    <tabColor theme="2" tint="-0.499984740745262"/>
    <pageSetUpPr fitToPage="1"/>
  </sheetPr>
  <dimension ref="B1:K121"/>
  <sheetViews>
    <sheetView showGridLines="0" zoomScaleNormal="100" workbookViewId="0">
      <selection activeCell="B2" sqref="B2"/>
    </sheetView>
  </sheetViews>
  <sheetFormatPr defaultColWidth="0" defaultRowHeight="12.75" zeroHeight="1" x14ac:dyDescent="0.2"/>
  <cols>
    <col min="1" max="1" width="5.7109375" customWidth="1"/>
    <col min="2" max="2" width="50" customWidth="1"/>
    <col min="3" max="3" width="73.28515625" customWidth="1"/>
    <col min="4" max="4" width="26.7109375" customWidth="1"/>
    <col min="5" max="5" width="9.140625" customWidth="1"/>
    <col min="6" max="6" width="16.140625" bestFit="1" customWidth="1"/>
    <col min="7" max="9" width="21.42578125" customWidth="1"/>
    <col min="10" max="10" width="5.7109375" customWidth="1"/>
    <col min="11" max="11" width="13.85546875" hidden="1" customWidth="1"/>
    <col min="12" max="12" width="0" hidden="1" customWidth="1"/>
  </cols>
  <sheetData>
    <row r="1" spans="2:9" ht="22.5" customHeight="1" x14ac:dyDescent="0.2"/>
    <row r="2" spans="2:9" ht="12.75" customHeight="1" x14ac:dyDescent="0.2">
      <c r="B2" s="77"/>
      <c r="C2" s="77"/>
      <c r="D2" s="77"/>
      <c r="E2" s="77"/>
      <c r="F2" s="77"/>
      <c r="G2" s="77"/>
      <c r="H2" s="77"/>
      <c r="I2" s="77"/>
    </row>
    <row r="3" spans="2:9" ht="29.25" customHeight="1" x14ac:dyDescent="0.6">
      <c r="B3" s="78" t="s">
        <v>203</v>
      </c>
      <c r="C3" s="78"/>
      <c r="D3" s="79"/>
      <c r="E3" s="80"/>
      <c r="F3" s="78"/>
      <c r="G3" s="78"/>
      <c r="H3" s="79"/>
      <c r="I3" s="81" t="e" vm="1">
        <v>#VALUE!</v>
      </c>
    </row>
    <row r="4" spans="2:9" ht="15" customHeight="1" x14ac:dyDescent="0.2">
      <c r="B4" s="75"/>
      <c r="C4" s="75"/>
      <c r="D4" s="75"/>
      <c r="E4" s="75"/>
      <c r="F4" s="75"/>
      <c r="G4" s="75"/>
      <c r="H4" s="75"/>
      <c r="I4" s="75"/>
    </row>
    <row r="5" spans="2:9" ht="15" customHeight="1" x14ac:dyDescent="0.3">
      <c r="B5" s="89" t="s">
        <v>201</v>
      </c>
      <c r="C5" s="90"/>
      <c r="D5" s="90"/>
      <c r="E5" s="90"/>
      <c r="F5" s="90"/>
      <c r="G5" s="90"/>
      <c r="H5" s="91" t="s">
        <v>184</v>
      </c>
      <c r="I5" s="7"/>
    </row>
    <row r="6" spans="2:9" ht="15" customHeight="1" x14ac:dyDescent="0.3">
      <c r="B6" s="89" t="s">
        <v>202</v>
      </c>
      <c r="C6" s="90"/>
      <c r="D6" s="90"/>
      <c r="E6" s="90"/>
      <c r="F6" s="90"/>
      <c r="G6" s="90"/>
      <c r="H6" s="91" t="s">
        <v>185</v>
      </c>
      <c r="I6" s="6"/>
    </row>
    <row r="7" spans="2:9" ht="15" customHeight="1" x14ac:dyDescent="0.3">
      <c r="B7" s="90" t="s">
        <v>232</v>
      </c>
      <c r="C7" s="90"/>
      <c r="D7" s="90"/>
      <c r="E7" s="90"/>
      <c r="F7" s="90"/>
      <c r="G7" s="90"/>
      <c r="H7" s="90"/>
      <c r="I7" s="90"/>
    </row>
    <row r="8" spans="2:9" ht="22.5" customHeight="1" x14ac:dyDescent="0.35">
      <c r="B8" s="75"/>
      <c r="C8" s="75"/>
      <c r="D8" s="75"/>
      <c r="E8" s="75"/>
      <c r="F8" s="92"/>
      <c r="G8" s="116" t="s">
        <v>57</v>
      </c>
      <c r="H8" s="116"/>
      <c r="I8" s="88">
        <v>750</v>
      </c>
    </row>
    <row r="9" spans="2:9" ht="17.25" x14ac:dyDescent="0.2">
      <c r="B9" s="3" t="s">
        <v>180</v>
      </c>
      <c r="C9" s="3" t="s">
        <v>189</v>
      </c>
      <c r="D9" s="15" t="s">
        <v>190</v>
      </c>
      <c r="E9" s="15" t="s">
        <v>191</v>
      </c>
      <c r="F9" s="15"/>
      <c r="G9" s="15" t="s">
        <v>192</v>
      </c>
      <c r="H9" s="15" t="s">
        <v>105</v>
      </c>
      <c r="I9" s="15" t="s">
        <v>193</v>
      </c>
    </row>
    <row r="10" spans="2:9" ht="22.5" x14ac:dyDescent="0.45">
      <c r="B10" s="84" t="s">
        <v>28</v>
      </c>
      <c r="C10" s="84"/>
      <c r="D10" s="84"/>
      <c r="E10" s="84"/>
      <c r="F10" s="84"/>
      <c r="G10" s="84"/>
      <c r="H10" s="84"/>
      <c r="I10" s="84"/>
    </row>
    <row r="11" spans="2:9" ht="15" x14ac:dyDescent="0.2">
      <c r="B11" s="4" t="s">
        <v>0</v>
      </c>
      <c r="C11" s="4" t="s">
        <v>47</v>
      </c>
      <c r="D11" s="36">
        <f>$I$8</f>
        <v>750</v>
      </c>
      <c r="E11" s="97"/>
      <c r="F11" s="4" t="s">
        <v>1</v>
      </c>
      <c r="G11" s="50">
        <f t="shared" ref="G11:G13" si="0">D11*E11</f>
        <v>0</v>
      </c>
      <c r="H11" s="50">
        <f t="shared" ref="H11:H13" si="1">G11*0.25</f>
        <v>0</v>
      </c>
      <c r="I11" s="50">
        <f t="shared" ref="I11:I13" si="2">SUM(G11:H11)</f>
        <v>0</v>
      </c>
    </row>
    <row r="12" spans="2:9" ht="15" x14ac:dyDescent="0.2">
      <c r="B12" s="5" t="s">
        <v>2</v>
      </c>
      <c r="C12" s="5" t="s">
        <v>38</v>
      </c>
      <c r="D12" s="37">
        <f t="shared" ref="D12:D13" si="3">$I$8</f>
        <v>750</v>
      </c>
      <c r="E12" s="98"/>
      <c r="F12" s="5" t="s">
        <v>1</v>
      </c>
      <c r="G12" s="52">
        <f t="shared" si="0"/>
        <v>0</v>
      </c>
      <c r="H12" s="52">
        <f t="shared" si="1"/>
        <v>0</v>
      </c>
      <c r="I12" s="52">
        <f t="shared" si="2"/>
        <v>0</v>
      </c>
    </row>
    <row r="13" spans="2:9" ht="15" x14ac:dyDescent="0.2">
      <c r="B13" s="4" t="s">
        <v>3</v>
      </c>
      <c r="C13" s="4" t="s">
        <v>39</v>
      </c>
      <c r="D13" s="36">
        <f t="shared" si="3"/>
        <v>750</v>
      </c>
      <c r="E13" s="97"/>
      <c r="F13" s="4" t="s">
        <v>1</v>
      </c>
      <c r="G13" s="50">
        <f t="shared" si="0"/>
        <v>0</v>
      </c>
      <c r="H13" s="50">
        <f t="shared" si="1"/>
        <v>0</v>
      </c>
      <c r="I13" s="50">
        <f t="shared" si="2"/>
        <v>0</v>
      </c>
    </row>
    <row r="14" spans="2:9" ht="15" x14ac:dyDescent="0.2">
      <c r="B14" s="5" t="s">
        <v>4</v>
      </c>
      <c r="C14" s="5" t="s">
        <v>48</v>
      </c>
      <c r="D14" s="37">
        <f>'PRISLISTE KONS.'!F11</f>
        <v>3.94</v>
      </c>
      <c r="E14" s="98"/>
      <c r="F14" s="5" t="s">
        <v>5</v>
      </c>
      <c r="G14" s="52">
        <f>D14*E14</f>
        <v>0</v>
      </c>
      <c r="H14" s="52">
        <f>G14*0.25</f>
        <v>0</v>
      </c>
      <c r="I14" s="52">
        <f>SUM(G14:H14)</f>
        <v>0</v>
      </c>
    </row>
    <row r="15" spans="2:9" ht="15" x14ac:dyDescent="0.2">
      <c r="B15" s="4" t="s">
        <v>6</v>
      </c>
      <c r="C15" s="4" t="s">
        <v>49</v>
      </c>
      <c r="D15" s="36">
        <v>100</v>
      </c>
      <c r="E15" s="97"/>
      <c r="F15" s="4" t="s">
        <v>7</v>
      </c>
      <c r="G15" s="50">
        <f>D15*E15</f>
        <v>0</v>
      </c>
      <c r="H15" s="50">
        <f>G15*0.25</f>
        <v>0</v>
      </c>
      <c r="I15" s="50">
        <f>SUM(G15:H15)</f>
        <v>0</v>
      </c>
    </row>
    <row r="16" spans="2:9" ht="17.25" x14ac:dyDescent="0.35">
      <c r="B16" s="8" t="s">
        <v>187</v>
      </c>
      <c r="C16" s="8"/>
      <c r="D16" s="93"/>
      <c r="E16" s="8"/>
      <c r="F16" s="8"/>
      <c r="G16" s="55">
        <f>SUM(G11:G15)</f>
        <v>0</v>
      </c>
      <c r="H16" s="55">
        <f>SUM(H11:H15)</f>
        <v>0</v>
      </c>
      <c r="I16" s="55">
        <f>SUM(I11:I15)</f>
        <v>0</v>
      </c>
    </row>
    <row r="17" spans="2:9" ht="22.5" x14ac:dyDescent="0.45">
      <c r="B17" s="84" t="s">
        <v>60</v>
      </c>
      <c r="C17" s="84"/>
      <c r="D17" s="94"/>
      <c r="E17" s="84"/>
      <c r="F17" s="84"/>
      <c r="G17" s="95"/>
      <c r="H17" s="95"/>
      <c r="I17" s="95"/>
    </row>
    <row r="18" spans="2:9" ht="15" x14ac:dyDescent="0.2">
      <c r="B18" s="4" t="s">
        <v>43</v>
      </c>
      <c r="C18" s="4"/>
      <c r="D18" s="36"/>
      <c r="E18" s="4"/>
      <c r="F18" s="4"/>
      <c r="G18" s="50">
        <f>IF(OR(E19&gt;0,E20&gt;0),$I$8*2,)</f>
        <v>0</v>
      </c>
      <c r="H18" s="50">
        <f>G18*0.25</f>
        <v>0</v>
      </c>
      <c r="I18" s="50">
        <f>SUM(G18:H18)</f>
        <v>0</v>
      </c>
    </row>
    <row r="19" spans="2:9" ht="15" x14ac:dyDescent="0.2">
      <c r="B19" s="5" t="s">
        <v>136</v>
      </c>
      <c r="C19" s="5" t="s">
        <v>38</v>
      </c>
      <c r="D19" s="37">
        <f>'PRISLISTE KONS.'!$F$15</f>
        <v>4500</v>
      </c>
      <c r="E19" s="98"/>
      <c r="F19" s="5" t="s">
        <v>97</v>
      </c>
      <c r="G19" s="52">
        <f t="shared" ref="G19:G21" si="4">D19*E19</f>
        <v>0</v>
      </c>
      <c r="H19" s="52">
        <f t="shared" ref="H19:H20" si="5">G19*0.25</f>
        <v>0</v>
      </c>
      <c r="I19" s="52">
        <f t="shared" ref="I19:I20" si="6">SUM(G19:H19)</f>
        <v>0</v>
      </c>
    </row>
    <row r="20" spans="2:9" ht="15" x14ac:dyDescent="0.2">
      <c r="B20" s="4" t="s">
        <v>137</v>
      </c>
      <c r="C20" s="4" t="s">
        <v>38</v>
      </c>
      <c r="D20" s="36">
        <f>'PRISLISTE KONS.'!$F$16</f>
        <v>3000</v>
      </c>
      <c r="E20" s="97"/>
      <c r="F20" s="4" t="s">
        <v>97</v>
      </c>
      <c r="G20" s="50">
        <f t="shared" si="4"/>
        <v>0</v>
      </c>
      <c r="H20" s="50">
        <f t="shared" si="5"/>
        <v>0</v>
      </c>
      <c r="I20" s="50">
        <f t="shared" si="6"/>
        <v>0</v>
      </c>
    </row>
    <row r="21" spans="2:9" ht="15" x14ac:dyDescent="0.2">
      <c r="B21" s="5" t="s">
        <v>4</v>
      </c>
      <c r="C21" s="5" t="s">
        <v>126</v>
      </c>
      <c r="D21" s="37">
        <f>'PRISLISTE KONS.'!F11</f>
        <v>3.94</v>
      </c>
      <c r="E21" s="98"/>
      <c r="F21" s="5" t="s">
        <v>5</v>
      </c>
      <c r="G21" s="52">
        <f t="shared" si="4"/>
        <v>0</v>
      </c>
      <c r="H21" s="52">
        <f t="shared" ref="H21" si="7">G21*0.25</f>
        <v>0</v>
      </c>
      <c r="I21" s="52">
        <f t="shared" ref="I21" si="8">SUM(G21:H21)</f>
        <v>0</v>
      </c>
    </row>
    <row r="22" spans="2:9" ht="17.25" x14ac:dyDescent="0.35">
      <c r="B22" s="8" t="s">
        <v>187</v>
      </c>
      <c r="C22" s="8"/>
      <c r="D22" s="93"/>
      <c r="E22" s="8"/>
      <c r="F22" s="8"/>
      <c r="G22" s="55">
        <f>SUM(G18:G21)</f>
        <v>0</v>
      </c>
      <c r="H22" s="55">
        <f>SUM(H18:H21)</f>
        <v>0</v>
      </c>
      <c r="I22" s="55">
        <f>SUM(I18:I21)</f>
        <v>0</v>
      </c>
    </row>
    <row r="23" spans="2:9" ht="22.5" x14ac:dyDescent="0.45">
      <c r="B23" s="84" t="s">
        <v>62</v>
      </c>
      <c r="C23" s="84"/>
      <c r="D23" s="94"/>
      <c r="E23" s="84"/>
      <c r="F23" s="84"/>
      <c r="G23" s="95"/>
      <c r="H23" s="95"/>
      <c r="I23" s="95"/>
    </row>
    <row r="24" spans="2:9" ht="15" x14ac:dyDescent="0.2">
      <c r="B24" s="4" t="s">
        <v>43</v>
      </c>
      <c r="C24" s="4"/>
      <c r="D24" s="36"/>
      <c r="E24" s="4"/>
      <c r="F24" s="4"/>
      <c r="G24" s="50">
        <f>IF(OR(E25&gt;0,E26&gt;0,E27&gt;0,E28&gt;0,E29&gt;0),$I$8*2,)</f>
        <v>0</v>
      </c>
      <c r="H24" s="50">
        <f>G24*0.25</f>
        <v>0</v>
      </c>
      <c r="I24" s="50">
        <f>SUM(G24:H24)</f>
        <v>0</v>
      </c>
    </row>
    <row r="25" spans="2:9" ht="15" x14ac:dyDescent="0.2">
      <c r="B25" s="5" t="s">
        <v>63</v>
      </c>
      <c r="C25" s="5"/>
      <c r="D25" s="51" t="str">
        <f>'PRISLISTE KONS.'!F20&amp;" - "&amp;'PRISLISTE KONS.'!F21&amp;" kr."</f>
        <v>375 - 187,5 kr.</v>
      </c>
      <c r="E25" s="98"/>
      <c r="F25" s="5" t="s">
        <v>98</v>
      </c>
      <c r="G25" s="52">
        <f>IF(E25=1,($I$8*0.5),IF(E25&gt;1,($I$8*0.5)+(($I$8*0.25)*(E25-1)),))</f>
        <v>0</v>
      </c>
      <c r="H25" s="52">
        <f t="shared" ref="H25:H29" si="9">G25*0.25</f>
        <v>0</v>
      </c>
      <c r="I25" s="52">
        <f t="shared" ref="I25:I29" si="10">SUM(G25:H25)</f>
        <v>0</v>
      </c>
    </row>
    <row r="26" spans="2:9" ht="15" x14ac:dyDescent="0.2">
      <c r="B26" s="4" t="s">
        <v>65</v>
      </c>
      <c r="C26" s="4" t="s">
        <v>140</v>
      </c>
      <c r="D26" s="49">
        <f>'PRISLISTE KONS.'!F22</f>
        <v>1237.5</v>
      </c>
      <c r="E26" s="97"/>
      <c r="F26" s="4" t="s">
        <v>98</v>
      </c>
      <c r="G26" s="50">
        <f t="shared" ref="G26:G29" si="11">D26*E26</f>
        <v>0</v>
      </c>
      <c r="H26" s="50">
        <f>G26*0.25</f>
        <v>0</v>
      </c>
      <c r="I26" s="50">
        <f t="shared" si="10"/>
        <v>0</v>
      </c>
    </row>
    <row r="27" spans="2:9" ht="15" x14ac:dyDescent="0.2">
      <c r="B27" s="4"/>
      <c r="C27" s="4" t="s">
        <v>141</v>
      </c>
      <c r="D27" s="49">
        <f>$I$8+100</f>
        <v>850</v>
      </c>
      <c r="E27" s="97"/>
      <c r="F27" s="4" t="s">
        <v>1</v>
      </c>
      <c r="G27" s="50">
        <f t="shared" si="11"/>
        <v>0</v>
      </c>
      <c r="H27" s="50">
        <f t="shared" si="9"/>
        <v>0</v>
      </c>
      <c r="I27" s="50">
        <f t="shared" si="10"/>
        <v>0</v>
      </c>
    </row>
    <row r="28" spans="2:9" ht="15" x14ac:dyDescent="0.2">
      <c r="B28" s="4"/>
      <c r="C28" s="4" t="s">
        <v>142</v>
      </c>
      <c r="D28" s="49" t="str">
        <f>'PRISLISTE KONS.'!F24&amp;" - "&amp;'PRISLISTE KONS.'!F25&amp;" kr."</f>
        <v>487,5 - 375 kr.</v>
      </c>
      <c r="E28" s="97"/>
      <c r="F28" s="4" t="s">
        <v>98</v>
      </c>
      <c r="G28" s="50">
        <f>IF(E28=1,($I$8*0.65),IF(E28&gt;1,($I$8*0.65)+(($I$8*0.5)*(E28-1)),))</f>
        <v>0</v>
      </c>
      <c r="H28" s="50">
        <f t="shared" si="9"/>
        <v>0</v>
      </c>
      <c r="I28" s="50">
        <f t="shared" si="10"/>
        <v>0</v>
      </c>
    </row>
    <row r="29" spans="2:9" ht="15" x14ac:dyDescent="0.2">
      <c r="B29" s="5" t="s">
        <v>66</v>
      </c>
      <c r="C29" s="5" t="s">
        <v>144</v>
      </c>
      <c r="D29" s="37">
        <f>$I$8</f>
        <v>750</v>
      </c>
      <c r="E29" s="98"/>
      <c r="F29" s="5" t="s">
        <v>1</v>
      </c>
      <c r="G29" s="52">
        <f t="shared" si="11"/>
        <v>0</v>
      </c>
      <c r="H29" s="52">
        <f t="shared" si="9"/>
        <v>0</v>
      </c>
      <c r="I29" s="52">
        <f t="shared" si="10"/>
        <v>0</v>
      </c>
    </row>
    <row r="30" spans="2:9" ht="17.25" x14ac:dyDescent="0.35">
      <c r="B30" s="8" t="s">
        <v>187</v>
      </c>
      <c r="C30" s="8"/>
      <c r="D30" s="93"/>
      <c r="E30" s="8"/>
      <c r="F30" s="8"/>
      <c r="G30" s="55">
        <f>SUM(G24:G29)</f>
        <v>0</v>
      </c>
      <c r="H30" s="55">
        <f>G30*0.25</f>
        <v>0</v>
      </c>
      <c r="I30" s="55">
        <f>SUM(G30:H30)</f>
        <v>0</v>
      </c>
    </row>
    <row r="31" spans="2:9" ht="22.5" x14ac:dyDescent="0.45">
      <c r="B31" s="84" t="s">
        <v>145</v>
      </c>
      <c r="C31" s="84"/>
      <c r="D31" s="94"/>
      <c r="E31" s="84"/>
      <c r="F31" s="84"/>
      <c r="G31" s="95"/>
      <c r="H31" s="95"/>
      <c r="I31" s="95"/>
    </row>
    <row r="32" spans="2:9" ht="15" x14ac:dyDescent="0.2">
      <c r="B32" s="4" t="s">
        <v>43</v>
      </c>
      <c r="C32" s="4"/>
      <c r="D32" s="36"/>
      <c r="E32" s="4"/>
      <c r="F32" s="4"/>
      <c r="G32" s="50">
        <f>IF(OR(D33&gt;0,D34&gt;0),$I$8*2.5,)</f>
        <v>0</v>
      </c>
      <c r="H32" s="50">
        <f>G32*0.25</f>
        <v>0</v>
      </c>
      <c r="I32" s="50">
        <f>SUM(G32:H32)</f>
        <v>0</v>
      </c>
    </row>
    <row r="33" spans="2:9" ht="15" x14ac:dyDescent="0.2">
      <c r="B33" s="5" t="s">
        <v>18</v>
      </c>
      <c r="C33" s="5" t="s">
        <v>134</v>
      </c>
      <c r="D33" s="99"/>
      <c r="E33" s="5" t="s">
        <v>206</v>
      </c>
      <c r="F33" s="5"/>
      <c r="G33" s="52">
        <f>D33*1</f>
        <v>0</v>
      </c>
      <c r="H33" s="52">
        <f>G33*0.25</f>
        <v>0</v>
      </c>
      <c r="I33" s="52">
        <f>SUM(G33:H33)</f>
        <v>0</v>
      </c>
    </row>
    <row r="34" spans="2:9" ht="15" x14ac:dyDescent="0.2">
      <c r="B34" s="4" t="s">
        <v>125</v>
      </c>
      <c r="C34" s="4" t="s">
        <v>134</v>
      </c>
      <c r="D34" s="99"/>
      <c r="E34" s="4" t="s">
        <v>206</v>
      </c>
      <c r="F34" s="4"/>
      <c r="G34" s="50">
        <f>D34*1</f>
        <v>0</v>
      </c>
      <c r="H34" s="50">
        <f>G34*0.25</f>
        <v>0</v>
      </c>
      <c r="I34" s="50">
        <f>SUM(G34:H34)</f>
        <v>0</v>
      </c>
    </row>
    <row r="35" spans="2:9" ht="17.25" x14ac:dyDescent="0.35">
      <c r="B35" s="8" t="s">
        <v>187</v>
      </c>
      <c r="C35" s="8"/>
      <c r="D35" s="93"/>
      <c r="E35" s="8"/>
      <c r="F35" s="8"/>
      <c r="G35" s="55">
        <f>SUM(G32:G34)</f>
        <v>0</v>
      </c>
      <c r="H35" s="55">
        <f>SUM(H32:H34)</f>
        <v>0</v>
      </c>
      <c r="I35" s="55">
        <f>SUM(I32:I34)</f>
        <v>0</v>
      </c>
    </row>
    <row r="36" spans="2:9" ht="22.5" x14ac:dyDescent="0.45">
      <c r="B36" s="84" t="s">
        <v>67</v>
      </c>
      <c r="C36" s="84"/>
      <c r="D36" s="94"/>
      <c r="E36" s="84"/>
      <c r="F36" s="84"/>
      <c r="G36" s="96"/>
      <c r="H36" s="95"/>
      <c r="I36" s="95"/>
    </row>
    <row r="37" spans="2:9" ht="15" x14ac:dyDescent="0.2">
      <c r="B37" s="4" t="s">
        <v>43</v>
      </c>
      <c r="C37" s="4"/>
      <c r="D37" s="36"/>
      <c r="E37" s="4"/>
      <c r="F37" s="4"/>
      <c r="G37" s="50">
        <f>IF(OR(E38&gt;0,E39&gt;0,E40&gt;0),$I$8*2,)</f>
        <v>0</v>
      </c>
      <c r="H37" s="50">
        <f>G37*0.25</f>
        <v>0</v>
      </c>
      <c r="I37" s="50">
        <f t="shared" ref="I37" si="12">SUM(G37:H37)</f>
        <v>0</v>
      </c>
    </row>
    <row r="38" spans="2:9" ht="15" x14ac:dyDescent="0.2">
      <c r="B38" s="5" t="s">
        <v>68</v>
      </c>
      <c r="C38" s="5" t="s">
        <v>148</v>
      </c>
      <c r="D38" s="37">
        <f>'PRISLISTE KONS.'!F33</f>
        <v>3000</v>
      </c>
      <c r="E38" s="98"/>
      <c r="F38" s="5" t="s">
        <v>9</v>
      </c>
      <c r="G38" s="52">
        <f t="shared" ref="G38:G40" si="13">D38*E38</f>
        <v>0</v>
      </c>
      <c r="H38" s="52">
        <f>G38*0.25</f>
        <v>0</v>
      </c>
      <c r="I38" s="52">
        <f t="shared" ref="I38:I41" si="14">SUM(G38:H38)</f>
        <v>0</v>
      </c>
    </row>
    <row r="39" spans="2:9" ht="15" x14ac:dyDescent="0.2">
      <c r="B39" s="4" t="s">
        <v>69</v>
      </c>
      <c r="C39" s="4" t="s">
        <v>149</v>
      </c>
      <c r="D39" s="36">
        <f>'PRISLISTE KONS.'!F34</f>
        <v>3000</v>
      </c>
      <c r="E39" s="97"/>
      <c r="F39" s="4" t="s">
        <v>9</v>
      </c>
      <c r="G39" s="50">
        <f t="shared" si="13"/>
        <v>0</v>
      </c>
      <c r="H39" s="50">
        <f>G39*0.25</f>
        <v>0</v>
      </c>
      <c r="I39" s="50">
        <f t="shared" si="14"/>
        <v>0</v>
      </c>
    </row>
    <row r="40" spans="2:9" ht="15" x14ac:dyDescent="0.2">
      <c r="B40" s="5" t="s">
        <v>70</v>
      </c>
      <c r="C40" s="5" t="s">
        <v>150</v>
      </c>
      <c r="D40" s="37">
        <f>'PRISLISTE KONS.'!F35</f>
        <v>3000</v>
      </c>
      <c r="E40" s="98"/>
      <c r="F40" s="5" t="s">
        <v>9</v>
      </c>
      <c r="G40" s="52">
        <f t="shared" si="13"/>
        <v>0</v>
      </c>
      <c r="H40" s="52">
        <f t="shared" ref="H40:H42" si="15">G40*0.25</f>
        <v>0</v>
      </c>
      <c r="I40" s="52">
        <f t="shared" si="14"/>
        <v>0</v>
      </c>
    </row>
    <row r="41" spans="2:9" ht="15" x14ac:dyDescent="0.2">
      <c r="B41" s="4" t="s">
        <v>71</v>
      </c>
      <c r="C41" s="4" t="s">
        <v>178</v>
      </c>
      <c r="D41" s="36">
        <f>'PRISLISTE KONS.'!F36</f>
        <v>6300</v>
      </c>
      <c r="E41" s="4"/>
      <c r="F41" s="4"/>
      <c r="G41" s="50">
        <f>D41*E42</f>
        <v>0</v>
      </c>
      <c r="H41" s="50">
        <f t="shared" si="15"/>
        <v>0</v>
      </c>
      <c r="I41" s="50">
        <f t="shared" si="14"/>
        <v>0</v>
      </c>
    </row>
    <row r="42" spans="2:9" ht="15" x14ac:dyDescent="0.2">
      <c r="B42" s="4"/>
      <c r="C42" s="4" t="s">
        <v>177</v>
      </c>
      <c r="D42" s="36">
        <f>'PRISLISTE KONS.'!F37</f>
        <v>5250</v>
      </c>
      <c r="E42" s="97"/>
      <c r="F42" s="4" t="s">
        <v>9</v>
      </c>
      <c r="G42" s="50">
        <f>D42*E42</f>
        <v>0</v>
      </c>
      <c r="H42" s="50">
        <f t="shared" si="15"/>
        <v>0</v>
      </c>
      <c r="I42" s="50">
        <f>SUM(G42:H42)</f>
        <v>0</v>
      </c>
    </row>
    <row r="43" spans="2:9" ht="17.25" x14ac:dyDescent="0.35">
      <c r="B43" s="8" t="s">
        <v>187</v>
      </c>
      <c r="C43" s="8"/>
      <c r="D43" s="93"/>
      <c r="E43" s="8"/>
      <c r="F43" s="8"/>
      <c r="G43" s="55">
        <f>SUM(G37:G42)</f>
        <v>0</v>
      </c>
      <c r="H43" s="55">
        <f>SUM(H37:H42)</f>
        <v>0</v>
      </c>
      <c r="I43" s="55">
        <f>SUM(I37:I42)</f>
        <v>0</v>
      </c>
    </row>
    <row r="44" spans="2:9" ht="22.5" x14ac:dyDescent="0.45">
      <c r="B44" s="84" t="s">
        <v>161</v>
      </c>
      <c r="C44" s="84"/>
      <c r="D44" s="94"/>
      <c r="E44" s="84"/>
      <c r="F44" s="84"/>
      <c r="G44" s="95"/>
      <c r="H44" s="95"/>
      <c r="I44" s="95"/>
    </row>
    <row r="45" spans="2:9" ht="15" x14ac:dyDescent="0.2">
      <c r="B45" s="4" t="s">
        <v>43</v>
      </c>
      <c r="C45" s="4"/>
      <c r="D45" s="36"/>
      <c r="E45" s="4"/>
      <c r="F45" s="4"/>
      <c r="G45" s="50">
        <f>IF(OR(E46&gt;0,E47&gt;0,E48&gt;0,E49&gt;0,E50&gt;0,E51&gt;0,E52&gt;0,E53&gt;0,E54&gt;0,E55&gt;0,E56&gt;0,E57&gt;0,E58&gt;0,E59&gt;0,E60&gt;0,E61&gt;0,E62&gt;0,E63&gt;0,E64&gt;0,E65&gt;0,E48&gt;0),$I$8*2,)</f>
        <v>0</v>
      </c>
      <c r="H45" s="50">
        <f>G45*0.25</f>
        <v>0</v>
      </c>
      <c r="I45" s="50">
        <f t="shared" ref="I45" si="16">SUM(G45:H45)</f>
        <v>0</v>
      </c>
    </row>
    <row r="46" spans="2:9" ht="15" x14ac:dyDescent="0.2">
      <c r="B46" s="5" t="s">
        <v>158</v>
      </c>
      <c r="C46" s="5" t="s">
        <v>72</v>
      </c>
      <c r="D46" s="37">
        <f>'PRISLISTE KONS.'!F41</f>
        <v>6750</v>
      </c>
      <c r="E46" s="98"/>
      <c r="F46" s="5" t="s">
        <v>98</v>
      </c>
      <c r="G46" s="52">
        <f>IF(E46&gt;1,D46+(($I$8*('PRISLISTE KONS.'!E41-0.5))*(E46-1)),D46*E46)</f>
        <v>0</v>
      </c>
      <c r="H46" s="52">
        <f t="shared" ref="H46:H65" si="17">G46*0.25</f>
        <v>0</v>
      </c>
      <c r="I46" s="52">
        <f t="shared" ref="I46:I65" si="18">SUM(G46:H46)</f>
        <v>0</v>
      </c>
    </row>
    <row r="47" spans="2:9" ht="15" x14ac:dyDescent="0.2">
      <c r="B47" s="5"/>
      <c r="C47" s="5" t="s">
        <v>73</v>
      </c>
      <c r="D47" s="37">
        <f>'PRISLISTE KONS.'!F42</f>
        <v>4500</v>
      </c>
      <c r="E47" s="98"/>
      <c r="F47" s="5" t="s">
        <v>98</v>
      </c>
      <c r="G47" s="52">
        <f>IF(E47&gt;1,D47+(($I$8*('PRISLISTE KONS.'!E42-0.5))*(E47-1)),D47*E47)</f>
        <v>0</v>
      </c>
      <c r="H47" s="52">
        <f t="shared" si="17"/>
        <v>0</v>
      </c>
      <c r="I47" s="52">
        <f t="shared" si="18"/>
        <v>0</v>
      </c>
    </row>
    <row r="48" spans="2:9" ht="15" x14ac:dyDescent="0.2">
      <c r="B48" s="5"/>
      <c r="C48" s="5" t="s">
        <v>74</v>
      </c>
      <c r="D48" s="37">
        <f>'PRISLISTE KONS.'!F43</f>
        <v>7500</v>
      </c>
      <c r="E48" s="98"/>
      <c r="F48" s="5" t="s">
        <v>98</v>
      </c>
      <c r="G48" s="52">
        <f>IF(E48&gt;1,D48+(($I$8*('PRISLISTE KONS.'!E43-0.5))*(E48-1)),D48*E48)</f>
        <v>0</v>
      </c>
      <c r="H48" s="52">
        <f t="shared" si="17"/>
        <v>0</v>
      </c>
      <c r="I48" s="52">
        <f t="shared" si="18"/>
        <v>0</v>
      </c>
    </row>
    <row r="49" spans="2:9" ht="15" x14ac:dyDescent="0.2">
      <c r="B49" s="5"/>
      <c r="C49" s="5" t="s">
        <v>75</v>
      </c>
      <c r="D49" s="37">
        <f>'PRISLISTE KONS.'!F44</f>
        <v>12000</v>
      </c>
      <c r="E49" s="98"/>
      <c r="F49" s="5" t="s">
        <v>98</v>
      </c>
      <c r="G49" s="52">
        <f>IF(E49&gt;1,D49+(($I$8*('PRISLISTE KONS.'!E44-0.5))*(E49-1)),D49*E49)</f>
        <v>0</v>
      </c>
      <c r="H49" s="52">
        <f t="shared" si="17"/>
        <v>0</v>
      </c>
      <c r="I49" s="52">
        <f t="shared" si="18"/>
        <v>0</v>
      </c>
    </row>
    <row r="50" spans="2:9" ht="15" x14ac:dyDescent="0.2">
      <c r="B50" s="4" t="s">
        <v>76</v>
      </c>
      <c r="C50" s="4" t="s">
        <v>162</v>
      </c>
      <c r="D50" s="36">
        <f>$I$8*'PRISLISTE KONS.'!E45</f>
        <v>9000</v>
      </c>
      <c r="E50" s="97"/>
      <c r="F50" s="4" t="s">
        <v>98</v>
      </c>
      <c r="G50" s="50">
        <f>IF(E50&gt;1,D50+(D50*(E50-1)*0.9),D50*E50)</f>
        <v>0</v>
      </c>
      <c r="H50" s="50">
        <f t="shared" si="17"/>
        <v>0</v>
      </c>
      <c r="I50" s="50">
        <f t="shared" si="18"/>
        <v>0</v>
      </c>
    </row>
    <row r="51" spans="2:9" ht="15" x14ac:dyDescent="0.2">
      <c r="B51" s="4"/>
      <c r="C51" s="4" t="s">
        <v>77</v>
      </c>
      <c r="D51" s="36">
        <f>$I$8*'PRISLISTE KONS.'!E46</f>
        <v>6000</v>
      </c>
      <c r="E51" s="97"/>
      <c r="F51" s="4" t="s">
        <v>98</v>
      </c>
      <c r="G51" s="50">
        <f>D51*E51</f>
        <v>0</v>
      </c>
      <c r="H51" s="50">
        <f t="shared" si="17"/>
        <v>0</v>
      </c>
      <c r="I51" s="50">
        <f t="shared" si="18"/>
        <v>0</v>
      </c>
    </row>
    <row r="52" spans="2:9" ht="15" x14ac:dyDescent="0.2">
      <c r="B52" s="5" t="s">
        <v>159</v>
      </c>
      <c r="C52" s="5" t="s">
        <v>78</v>
      </c>
      <c r="D52" s="37">
        <f>$I$8*'PRISLISTE KONS.'!E47</f>
        <v>3000</v>
      </c>
      <c r="E52" s="98"/>
      <c r="F52" s="5" t="s">
        <v>98</v>
      </c>
      <c r="G52" s="52">
        <f>IF(E52&gt;1,D52+(D52*(E52-1)*0.9),D52*E52)</f>
        <v>0</v>
      </c>
      <c r="H52" s="52">
        <f t="shared" si="17"/>
        <v>0</v>
      </c>
      <c r="I52" s="52">
        <f t="shared" si="18"/>
        <v>0</v>
      </c>
    </row>
    <row r="53" spans="2:9" ht="15" x14ac:dyDescent="0.2">
      <c r="B53" s="4" t="s">
        <v>79</v>
      </c>
      <c r="C53" s="4" t="s">
        <v>74</v>
      </c>
      <c r="D53" s="36">
        <f>$I$8*'PRISLISTE KONS.'!E48</f>
        <v>12000</v>
      </c>
      <c r="E53" s="97"/>
      <c r="F53" s="4" t="s">
        <v>98</v>
      </c>
      <c r="G53" s="50">
        <f>IF(E53&gt;1,D53+(D53*(E53-1)*0.9),D53*E53)</f>
        <v>0</v>
      </c>
      <c r="H53" s="50">
        <f t="shared" si="17"/>
        <v>0</v>
      </c>
      <c r="I53" s="50">
        <f t="shared" si="18"/>
        <v>0</v>
      </c>
    </row>
    <row r="54" spans="2:9" ht="15" x14ac:dyDescent="0.2">
      <c r="B54" s="4"/>
      <c r="C54" s="4" t="s">
        <v>77</v>
      </c>
      <c r="D54" s="36">
        <f>$I$8*'PRISLISTE KONS.'!E49</f>
        <v>6000</v>
      </c>
      <c r="E54" s="97"/>
      <c r="F54" s="4" t="s">
        <v>98</v>
      </c>
      <c r="G54" s="50">
        <f>D54*E54</f>
        <v>0</v>
      </c>
      <c r="H54" s="50">
        <f t="shared" si="17"/>
        <v>0</v>
      </c>
      <c r="I54" s="50">
        <f t="shared" si="18"/>
        <v>0</v>
      </c>
    </row>
    <row r="55" spans="2:9" ht="15" x14ac:dyDescent="0.2">
      <c r="B55" s="5" t="s">
        <v>119</v>
      </c>
      <c r="C55" s="5" t="s">
        <v>80</v>
      </c>
      <c r="D55" s="51" t="str">
        <f>'PRISLISTE KONS.'!F50&amp;" - "&amp;'PRISLISTE KONS.'!F51&amp;" kr."</f>
        <v>750 - 375 kr.</v>
      </c>
      <c r="E55" s="98"/>
      <c r="F55" s="5" t="s">
        <v>98</v>
      </c>
      <c r="G55" s="52">
        <f>IF(E55=1,$I$8,IF(E55=2,($I$8*2),IF(E55=3,($I$8*3),IF(E55&gt;3,($I$8*3)+(E55-3)*($I$8*0.5),))))</f>
        <v>0</v>
      </c>
      <c r="H55" s="52">
        <f>G55*0.25</f>
        <v>0</v>
      </c>
      <c r="I55" s="52">
        <f t="shared" si="18"/>
        <v>0</v>
      </c>
    </row>
    <row r="56" spans="2:9" ht="15" x14ac:dyDescent="0.2">
      <c r="B56" s="4" t="s">
        <v>81</v>
      </c>
      <c r="C56" s="4" t="s">
        <v>80</v>
      </c>
      <c r="D56" s="49" t="str">
        <f>'PRISLISTE KONS.'!F52&amp;" - "&amp;'PRISLISTE KONS.'!F53&amp;" kr."</f>
        <v>1500 - 750 kr.</v>
      </c>
      <c r="E56" s="97"/>
      <c r="F56" s="4" t="s">
        <v>98</v>
      </c>
      <c r="G56" s="50">
        <f>IF(E56=1,$I$8*2,IF(E56=2,($I$8*4),IF(E56=3,($I$8*6),IF(E56&gt;3,($I$8*6)+(E56-3)*($I$8),))))</f>
        <v>0</v>
      </c>
      <c r="H56" s="50">
        <f t="shared" si="17"/>
        <v>0</v>
      </c>
      <c r="I56" s="50">
        <f t="shared" si="18"/>
        <v>0</v>
      </c>
    </row>
    <row r="57" spans="2:9" ht="15" x14ac:dyDescent="0.2">
      <c r="B57" s="5" t="s">
        <v>82</v>
      </c>
      <c r="C57" s="5" t="s">
        <v>83</v>
      </c>
      <c r="D57" s="37">
        <f>$I$8*'PRISLISTE KONS.'!E54</f>
        <v>22500</v>
      </c>
      <c r="E57" s="98"/>
      <c r="F57" s="5" t="s">
        <v>98</v>
      </c>
      <c r="G57" s="52">
        <f t="shared" ref="G57:G65" si="19">D57*E57</f>
        <v>0</v>
      </c>
      <c r="H57" s="52">
        <f t="shared" si="17"/>
        <v>0</v>
      </c>
      <c r="I57" s="52">
        <f t="shared" si="18"/>
        <v>0</v>
      </c>
    </row>
    <row r="58" spans="2:9" ht="15" x14ac:dyDescent="0.2">
      <c r="B58" s="5"/>
      <c r="C58" s="5" t="s">
        <v>120</v>
      </c>
      <c r="D58" s="37">
        <f>$I$8*'PRISLISTE KONS.'!E55</f>
        <v>4500</v>
      </c>
      <c r="E58" s="98"/>
      <c r="F58" s="5" t="s">
        <v>98</v>
      </c>
      <c r="G58" s="52">
        <f t="shared" si="19"/>
        <v>0</v>
      </c>
      <c r="H58" s="52">
        <f t="shared" si="17"/>
        <v>0</v>
      </c>
      <c r="I58" s="52">
        <f t="shared" si="18"/>
        <v>0</v>
      </c>
    </row>
    <row r="59" spans="2:9" ht="15" x14ac:dyDescent="0.2">
      <c r="B59" s="5"/>
      <c r="C59" s="5" t="s">
        <v>163</v>
      </c>
      <c r="D59" s="37">
        <f>$I$8</f>
        <v>750</v>
      </c>
      <c r="E59" s="98"/>
      <c r="F59" s="5" t="s">
        <v>1</v>
      </c>
      <c r="G59" s="52">
        <f t="shared" ref="G59" si="20">D59*E59</f>
        <v>0</v>
      </c>
      <c r="H59" s="52">
        <f t="shared" ref="H59" si="21">G59*0.25</f>
        <v>0</v>
      </c>
      <c r="I59" s="52">
        <f t="shared" ref="I59" si="22">SUM(G59:H59)</f>
        <v>0</v>
      </c>
    </row>
    <row r="60" spans="2:9" ht="15" x14ac:dyDescent="0.2">
      <c r="B60" s="4" t="s">
        <v>155</v>
      </c>
      <c r="C60" s="4" t="s">
        <v>99</v>
      </c>
      <c r="D60" s="36">
        <f>$I$8*'PRISLISTE KONS.'!E57</f>
        <v>1500</v>
      </c>
      <c r="E60" s="97"/>
      <c r="F60" s="4" t="s">
        <v>98</v>
      </c>
      <c r="G60" s="50">
        <f>IF(E60&gt;1,D60+(D60*(E60-1)*0.5),D60*E60)</f>
        <v>0</v>
      </c>
      <c r="H60" s="50">
        <f t="shared" si="17"/>
        <v>0</v>
      </c>
      <c r="I60" s="50">
        <f t="shared" si="18"/>
        <v>0</v>
      </c>
    </row>
    <row r="61" spans="2:9" ht="15" x14ac:dyDescent="0.2">
      <c r="B61" s="4"/>
      <c r="C61" s="4" t="s">
        <v>80</v>
      </c>
      <c r="D61" s="36">
        <f>$I$8*'PRISLISTE KONS.'!E58</f>
        <v>1500</v>
      </c>
      <c r="E61" s="97"/>
      <c r="F61" s="4" t="s">
        <v>98</v>
      </c>
      <c r="G61" s="50">
        <f t="shared" ref="G61:G62" si="23">IF(E61&gt;1,D61+(D61*(E61-1)*0.5),D61*E61)</f>
        <v>0</v>
      </c>
      <c r="H61" s="50">
        <f t="shared" si="17"/>
        <v>0</v>
      </c>
      <c r="I61" s="50">
        <f t="shared" si="18"/>
        <v>0</v>
      </c>
    </row>
    <row r="62" spans="2:9" ht="15" x14ac:dyDescent="0.2">
      <c r="B62" s="4"/>
      <c r="C62" s="4" t="s">
        <v>85</v>
      </c>
      <c r="D62" s="36">
        <f>$I$8*'PRISLISTE KONS.'!E59</f>
        <v>2250</v>
      </c>
      <c r="E62" s="97"/>
      <c r="F62" s="4" t="s">
        <v>98</v>
      </c>
      <c r="G62" s="50">
        <f t="shared" si="23"/>
        <v>0</v>
      </c>
      <c r="H62" s="50">
        <f t="shared" si="17"/>
        <v>0</v>
      </c>
      <c r="I62" s="50">
        <f t="shared" si="18"/>
        <v>0</v>
      </c>
    </row>
    <row r="63" spans="2:9" ht="15" x14ac:dyDescent="0.2">
      <c r="B63" s="5" t="s">
        <v>157</v>
      </c>
      <c r="C63" s="5" t="s">
        <v>100</v>
      </c>
      <c r="D63" s="37">
        <f>$I$8*'PRISLISTE KONS.'!E60</f>
        <v>9000</v>
      </c>
      <c r="E63" s="98"/>
      <c r="F63" s="5" t="s">
        <v>98</v>
      </c>
      <c r="G63" s="52">
        <f>IF(E63&gt;1,D63+(D63*(E63-1)*0.75),D63*E63)</f>
        <v>0</v>
      </c>
      <c r="H63" s="52">
        <f t="shared" si="17"/>
        <v>0</v>
      </c>
      <c r="I63" s="52">
        <f t="shared" si="18"/>
        <v>0</v>
      </c>
    </row>
    <row r="64" spans="2:9" ht="15" x14ac:dyDescent="0.2">
      <c r="B64" s="4" t="s">
        <v>87</v>
      </c>
      <c r="C64" s="4" t="s">
        <v>101</v>
      </c>
      <c r="D64" s="36">
        <f>$I$8*'PRISLISTE KONS.'!E61</f>
        <v>18000</v>
      </c>
      <c r="E64" s="97"/>
      <c r="F64" s="4" t="s">
        <v>98</v>
      </c>
      <c r="G64" s="50">
        <f t="shared" si="19"/>
        <v>0</v>
      </c>
      <c r="H64" s="50">
        <f t="shared" si="17"/>
        <v>0</v>
      </c>
      <c r="I64" s="50">
        <f t="shared" si="18"/>
        <v>0</v>
      </c>
    </row>
    <row r="65" spans="2:9" ht="15" x14ac:dyDescent="0.2">
      <c r="B65" s="4"/>
      <c r="C65" s="4" t="s">
        <v>102</v>
      </c>
      <c r="D65" s="36">
        <f>$I$8*'PRISLISTE KONS.'!E62</f>
        <v>11250</v>
      </c>
      <c r="E65" s="97"/>
      <c r="F65" s="4" t="s">
        <v>98</v>
      </c>
      <c r="G65" s="50">
        <f t="shared" si="19"/>
        <v>0</v>
      </c>
      <c r="H65" s="50">
        <f t="shared" si="17"/>
        <v>0</v>
      </c>
      <c r="I65" s="50">
        <f t="shared" si="18"/>
        <v>0</v>
      </c>
    </row>
    <row r="66" spans="2:9" ht="15" x14ac:dyDescent="0.2">
      <c r="B66" s="5" t="s">
        <v>234</v>
      </c>
      <c r="C66" s="5" t="s">
        <v>236</v>
      </c>
      <c r="D66" s="37">
        <f>$I$8*'PRISLISTE KONS.'!E63</f>
        <v>1875</v>
      </c>
      <c r="E66" s="98"/>
      <c r="F66" s="5" t="s">
        <v>97</v>
      </c>
      <c r="G66" s="52">
        <f t="shared" ref="G66" si="24">D66*E66</f>
        <v>0</v>
      </c>
      <c r="H66" s="52">
        <f t="shared" ref="H66" si="25">G66*0.25</f>
        <v>0</v>
      </c>
      <c r="I66" s="52">
        <f t="shared" ref="I66" si="26">SUM(G66:H66)</f>
        <v>0</v>
      </c>
    </row>
    <row r="67" spans="2:9" ht="17.25" x14ac:dyDescent="0.35">
      <c r="B67" s="8" t="s">
        <v>187</v>
      </c>
      <c r="C67" s="8"/>
      <c r="D67" s="93"/>
      <c r="E67" s="8"/>
      <c r="F67" s="8"/>
      <c r="G67" s="55">
        <f>SUM(G45:G66)</f>
        <v>0</v>
      </c>
      <c r="H67" s="55">
        <f>SUM(H45:H66)</f>
        <v>0</v>
      </c>
      <c r="I67" s="55">
        <f>SUM(I45:I66)</f>
        <v>0</v>
      </c>
    </row>
    <row r="68" spans="2:9" ht="22.5" x14ac:dyDescent="0.45">
      <c r="B68" s="84" t="s">
        <v>160</v>
      </c>
      <c r="C68" s="84"/>
      <c r="D68" s="94"/>
      <c r="E68" s="84"/>
      <c r="F68" s="84"/>
      <c r="G68" s="95"/>
      <c r="H68" s="95"/>
      <c r="I68" s="95"/>
    </row>
    <row r="69" spans="2:9" ht="15" x14ac:dyDescent="0.2">
      <c r="B69" s="4" t="s">
        <v>90</v>
      </c>
      <c r="C69" s="4" t="s">
        <v>103</v>
      </c>
      <c r="D69" s="36">
        <f>$I$8</f>
        <v>750</v>
      </c>
      <c r="E69" s="97"/>
      <c r="F69" s="4" t="s">
        <v>1</v>
      </c>
      <c r="G69" s="50">
        <f>D69*E69</f>
        <v>0</v>
      </c>
      <c r="H69" s="50">
        <f>G69*0.25</f>
        <v>0</v>
      </c>
      <c r="I69" s="50">
        <f>SUM(G69:H69)</f>
        <v>0</v>
      </c>
    </row>
    <row r="70" spans="2:9" ht="15" x14ac:dyDescent="0.2">
      <c r="B70" s="4"/>
      <c r="C70" s="4" t="s">
        <v>104</v>
      </c>
      <c r="D70" s="36">
        <f>$I$8</f>
        <v>750</v>
      </c>
      <c r="E70" s="97"/>
      <c r="F70" s="4" t="s">
        <v>1</v>
      </c>
      <c r="G70" s="50">
        <f>D70*E70</f>
        <v>0</v>
      </c>
      <c r="H70" s="50">
        <f>G70*0.25</f>
        <v>0</v>
      </c>
      <c r="I70" s="50">
        <f>SUM(G70:H70)</f>
        <v>0</v>
      </c>
    </row>
    <row r="71" spans="2:9" ht="15" x14ac:dyDescent="0.2">
      <c r="B71" s="5" t="s">
        <v>93</v>
      </c>
      <c r="C71" s="5" t="s">
        <v>94</v>
      </c>
      <c r="D71" s="37">
        <f>$I$8</f>
        <v>750</v>
      </c>
      <c r="E71" s="98"/>
      <c r="F71" s="5" t="s">
        <v>1</v>
      </c>
      <c r="G71" s="52">
        <f>D71*E71</f>
        <v>0</v>
      </c>
      <c r="H71" s="52">
        <f>G71*0.25</f>
        <v>0</v>
      </c>
      <c r="I71" s="52">
        <f>SUM(G71:H71)</f>
        <v>0</v>
      </c>
    </row>
    <row r="72" spans="2:9" ht="15" x14ac:dyDescent="0.2">
      <c r="B72" s="4" t="s">
        <v>95</v>
      </c>
      <c r="C72" s="4" t="s">
        <v>233</v>
      </c>
      <c r="D72" s="36">
        <f>$I$8</f>
        <v>750</v>
      </c>
      <c r="E72" s="97"/>
      <c r="F72" s="4" t="s">
        <v>1</v>
      </c>
      <c r="G72" s="50">
        <f>D72*E72</f>
        <v>0</v>
      </c>
      <c r="H72" s="50">
        <f>G72*0.25</f>
        <v>0</v>
      </c>
      <c r="I72" s="50">
        <f>SUM(G72:H72)</f>
        <v>0</v>
      </c>
    </row>
    <row r="73" spans="2:9" ht="15" x14ac:dyDescent="0.2">
      <c r="B73" s="5" t="s">
        <v>238</v>
      </c>
      <c r="C73" s="5" t="s">
        <v>50</v>
      </c>
      <c r="D73" s="37">
        <f>$I$8</f>
        <v>750</v>
      </c>
      <c r="E73" s="98"/>
      <c r="F73" s="5" t="s">
        <v>1</v>
      </c>
      <c r="G73" s="52">
        <f>D73*E73</f>
        <v>0</v>
      </c>
      <c r="H73" s="52">
        <f>G73*0.25</f>
        <v>0</v>
      </c>
      <c r="I73" s="52">
        <f>SUM(G73:H73)</f>
        <v>0</v>
      </c>
    </row>
    <row r="74" spans="2:9" ht="17.25" x14ac:dyDescent="0.35">
      <c r="B74" s="8" t="s">
        <v>187</v>
      </c>
      <c r="C74" s="8"/>
      <c r="D74" s="93"/>
      <c r="E74" s="8"/>
      <c r="F74" s="8"/>
      <c r="G74" s="55">
        <f>SUM(G69:G73)</f>
        <v>0</v>
      </c>
      <c r="H74" s="55">
        <f>SUM(H69:H73)</f>
        <v>0</v>
      </c>
      <c r="I74" s="55">
        <f>SUM(I69:I73)</f>
        <v>0</v>
      </c>
    </row>
    <row r="75" spans="2:9" ht="30" customHeight="1" x14ac:dyDescent="0.2">
      <c r="B75" s="61" t="s">
        <v>204</v>
      </c>
      <c r="C75" s="61"/>
      <c r="D75" s="61"/>
      <c r="E75" s="61"/>
      <c r="F75" s="61"/>
      <c r="G75" s="87"/>
      <c r="H75" s="87"/>
      <c r="I75" s="87"/>
    </row>
    <row r="76" spans="2:9" ht="17.25" x14ac:dyDescent="0.2">
      <c r="B76" s="3" t="s">
        <v>188</v>
      </c>
      <c r="C76" s="3"/>
      <c r="D76" s="3"/>
      <c r="E76" s="3"/>
      <c r="F76" s="3"/>
      <c r="G76" s="3" t="s">
        <v>192</v>
      </c>
      <c r="H76" s="3" t="s">
        <v>105</v>
      </c>
      <c r="I76" s="3" t="s">
        <v>193</v>
      </c>
    </row>
    <row r="77" spans="2:9" ht="15" x14ac:dyDescent="0.3">
      <c r="B77" s="101" t="str">
        <f>B$10</f>
        <v>KONSULENTSERVICE</v>
      </c>
      <c r="C77" s="63"/>
      <c r="D77" s="62"/>
      <c r="E77" s="62"/>
      <c r="F77" s="62"/>
      <c r="G77" s="64">
        <f>G$16</f>
        <v>0</v>
      </c>
      <c r="H77" s="64">
        <f t="shared" ref="H77:I77" si="27">H$16</f>
        <v>0</v>
      </c>
      <c r="I77" s="64">
        <f t="shared" si="27"/>
        <v>0</v>
      </c>
    </row>
    <row r="78" spans="2:9" ht="15" x14ac:dyDescent="0.3">
      <c r="B78" s="101" t="str">
        <f>B$17</f>
        <v>PRÆPARATOPTAG</v>
      </c>
      <c r="C78" s="63"/>
      <c r="D78" s="62"/>
      <c r="E78" s="62"/>
      <c r="F78" s="62"/>
      <c r="G78" s="64">
        <f>G$22</f>
        <v>0</v>
      </c>
      <c r="H78" s="64">
        <f t="shared" ref="H78:I78" si="28">H$22</f>
        <v>0</v>
      </c>
      <c r="I78" s="64">
        <f t="shared" si="28"/>
        <v>0</v>
      </c>
    </row>
    <row r="79" spans="2:9" ht="15" x14ac:dyDescent="0.3">
      <c r="B79" s="101" t="str">
        <f>B$23</f>
        <v xml:space="preserve">SÆRLIG DOKUMENTATION </v>
      </c>
      <c r="C79" s="63"/>
      <c r="D79" s="62"/>
      <c r="E79" s="62"/>
      <c r="F79" s="62"/>
      <c r="G79" s="64">
        <f>G$30</f>
        <v>0</v>
      </c>
      <c r="H79" s="64">
        <f t="shared" ref="H79:I79" si="29">H$30</f>
        <v>0</v>
      </c>
      <c r="I79" s="64">
        <f t="shared" si="29"/>
        <v>0</v>
      </c>
    </row>
    <row r="80" spans="2:9" ht="15" x14ac:dyDescent="0.3">
      <c r="B80" s="101" t="s">
        <v>145</v>
      </c>
      <c r="C80" s="63"/>
      <c r="D80" s="62"/>
      <c r="E80" s="62"/>
      <c r="F80" s="62"/>
      <c r="G80" s="64">
        <f>G$35</f>
        <v>0</v>
      </c>
      <c r="H80" s="64">
        <f>H$35</f>
        <v>0</v>
      </c>
      <c r="I80" s="64">
        <f>I$35</f>
        <v>0</v>
      </c>
    </row>
    <row r="81" spans="2:9" ht="15" x14ac:dyDescent="0.3">
      <c r="B81" s="101" t="str">
        <f>B$36</f>
        <v>MATERIALEANALYSER</v>
      </c>
      <c r="C81" s="65"/>
      <c r="D81" s="65"/>
      <c r="E81" s="65"/>
      <c r="F81" s="65"/>
      <c r="G81" s="66">
        <f>G$43</f>
        <v>0</v>
      </c>
      <c r="H81" s="66">
        <f t="shared" ref="H81:I81" si="30">H$43</f>
        <v>0</v>
      </c>
      <c r="I81" s="66">
        <f t="shared" si="30"/>
        <v>0</v>
      </c>
    </row>
    <row r="82" spans="2:9" ht="15" x14ac:dyDescent="0.3">
      <c r="B82" s="101" t="str">
        <f>B$44</f>
        <v>STABILISERENDE KONSERVERING</v>
      </c>
      <c r="C82" s="65"/>
      <c r="D82" s="65"/>
      <c r="E82" s="65"/>
      <c r="F82" s="65"/>
      <c r="G82" s="66">
        <f>G$67</f>
        <v>0</v>
      </c>
      <c r="H82" s="66">
        <f t="shared" ref="H82" si="31">H$67</f>
        <v>0</v>
      </c>
      <c r="I82" s="66">
        <f>I$67</f>
        <v>0</v>
      </c>
    </row>
    <row r="83" spans="2:9" ht="15" x14ac:dyDescent="0.3">
      <c r="B83" s="101" t="s">
        <v>160</v>
      </c>
      <c r="C83" s="63"/>
      <c r="D83" s="62"/>
      <c r="E83" s="62"/>
      <c r="F83" s="62"/>
      <c r="G83" s="64">
        <f>G$74</f>
        <v>0</v>
      </c>
      <c r="H83" s="64">
        <f>H$74</f>
        <v>0</v>
      </c>
      <c r="I83" s="64">
        <f>I$74</f>
        <v>0</v>
      </c>
    </row>
    <row r="84" spans="2:9" ht="15" x14ac:dyDescent="0.3">
      <c r="B84" s="69" t="s">
        <v>187</v>
      </c>
      <c r="C84" s="70"/>
      <c r="D84" s="70"/>
      <c r="E84" s="70"/>
      <c r="F84" s="70"/>
      <c r="G84" s="14">
        <f>SUM(G77:G83)</f>
        <v>0</v>
      </c>
      <c r="H84" s="14">
        <f>SUM(H77:H83)</f>
        <v>0</v>
      </c>
      <c r="I84" s="14">
        <f>SUM(I77:I83)</f>
        <v>0</v>
      </c>
    </row>
    <row r="85" spans="2:9" ht="11.25" customHeight="1" x14ac:dyDescent="0.2">
      <c r="B85" s="75"/>
      <c r="C85" s="75"/>
      <c r="D85" s="75"/>
      <c r="E85" s="75"/>
      <c r="F85" s="75"/>
      <c r="G85" s="75"/>
      <c r="H85" s="75"/>
      <c r="I85" s="75"/>
    </row>
    <row r="86" spans="2:9" x14ac:dyDescent="0.2"/>
    <row r="87" spans="2:9" x14ac:dyDescent="0.2"/>
    <row r="88" spans="2:9" x14ac:dyDescent="0.2"/>
    <row r="89" spans="2:9" x14ac:dyDescent="0.2"/>
    <row r="90" spans="2:9" x14ac:dyDescent="0.2"/>
    <row r="91" spans="2:9" x14ac:dyDescent="0.2"/>
    <row r="92" spans="2:9" x14ac:dyDescent="0.2"/>
    <row r="93" spans="2:9" x14ac:dyDescent="0.2"/>
    <row r="94" spans="2:9" x14ac:dyDescent="0.2"/>
    <row r="95" spans="2:9" x14ac:dyDescent="0.2"/>
    <row r="96" spans="2:9" x14ac:dyDescent="0.2"/>
    <row r="97" x14ac:dyDescent="0.2"/>
    <row r="98" x14ac:dyDescent="0.2"/>
    <row r="99" x14ac:dyDescent="0.2"/>
    <row r="100" x14ac:dyDescent="0.2"/>
    <row r="107" x14ac:dyDescent="0.2"/>
    <row r="109" x14ac:dyDescent="0.2"/>
    <row r="110" x14ac:dyDescent="0.2"/>
    <row r="111" x14ac:dyDescent="0.2"/>
    <row r="112" x14ac:dyDescent="0.2"/>
    <row r="113" x14ac:dyDescent="0.2"/>
    <row r="114" x14ac:dyDescent="0.2"/>
    <row r="115" x14ac:dyDescent="0.2"/>
    <row r="116" x14ac:dyDescent="0.2"/>
    <row r="118" x14ac:dyDescent="0.2"/>
    <row r="119" x14ac:dyDescent="0.2"/>
    <row r="120" x14ac:dyDescent="0.2"/>
    <row r="121" x14ac:dyDescent="0.2"/>
  </sheetData>
  <sheetProtection algorithmName="SHA-512" hashValue="CXg1n32aluPe9dMd4TFK9uK+tE8pCXytKG62Feyiwspzk16VHUIZ77JGK2PsvLzp+ofrIeUoQaYukV/+Wn9pCw==" saltValue="/WguP1NrxQmHDBVTF9BoIA==" spinCount="100000" sheet="1" objects="1" scenarios="1"/>
  <mergeCells count="1">
    <mergeCell ref="G8:H8"/>
  </mergeCells>
  <dataValidations count="2">
    <dataValidation type="decimal" allowBlank="1" showInputMessage="1" showErrorMessage="1" sqref="E14:E15 E18:E21 E27:E29 E38:E42 E24 E46:E66 E69:E73" xr:uid="{6B88B4C6-3F03-4032-94F4-B98436A6F580}">
      <formula1>0</formula1>
      <formula2>1000</formula2>
    </dataValidation>
    <dataValidation allowBlank="1" showInputMessage="1" showErrorMessage="1" errorTitle="Antal enheder" error="Indtast antallet af prøver, timer eller andre enheder." sqref="E33:E34" xr:uid="{2F4814E6-E7B4-4304-8852-8C8B3792E565}"/>
  </dataValidations>
  <pageMargins left="0.25" right="0.25" top="0.75" bottom="0.75" header="0.3" footer="0.3"/>
  <pageSetup paperSize="9" scale="45" fitToHeight="0" orientation="portrait" r:id="rId1"/>
  <ignoredErrors>
    <ignoredError sqref="G28 G41 G51"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507F5-D501-4A88-A7AE-8365F189283C}">
  <sheetPr codeName="Ark3">
    <tabColor theme="4"/>
  </sheetPr>
  <dimension ref="A1:B8"/>
  <sheetViews>
    <sheetView workbookViewId="0">
      <selection activeCell="B9" sqref="B9"/>
    </sheetView>
  </sheetViews>
  <sheetFormatPr defaultRowHeight="12.75" x14ac:dyDescent="0.2"/>
  <cols>
    <col min="1" max="1" width="21.42578125" customWidth="1"/>
    <col min="2" max="2" width="183" customWidth="1"/>
  </cols>
  <sheetData>
    <row r="1" spans="1:2" x14ac:dyDescent="0.2">
      <c r="A1" s="1" t="s">
        <v>173</v>
      </c>
      <c r="B1" s="1" t="s">
        <v>169</v>
      </c>
    </row>
    <row r="2" spans="1:2" x14ac:dyDescent="0.2">
      <c r="A2" s="117">
        <v>45383</v>
      </c>
      <c r="B2" t="s">
        <v>170</v>
      </c>
    </row>
    <row r="3" spans="1:2" x14ac:dyDescent="0.2">
      <c r="A3" s="117"/>
      <c r="B3" t="s">
        <v>171</v>
      </c>
    </row>
    <row r="4" spans="1:2" x14ac:dyDescent="0.2">
      <c r="A4" s="117"/>
      <c r="B4" t="s">
        <v>179</v>
      </c>
    </row>
    <row r="5" spans="1:2" x14ac:dyDescent="0.2">
      <c r="A5" s="117"/>
      <c r="B5" t="s">
        <v>172</v>
      </c>
    </row>
    <row r="6" spans="1:2" x14ac:dyDescent="0.2">
      <c r="A6" s="118">
        <v>45689</v>
      </c>
      <c r="B6" t="s">
        <v>194</v>
      </c>
    </row>
    <row r="7" spans="1:2" x14ac:dyDescent="0.2">
      <c r="A7" s="118"/>
      <c r="B7" t="s">
        <v>195</v>
      </c>
    </row>
    <row r="8" spans="1:2" x14ac:dyDescent="0.2">
      <c r="A8" s="2">
        <v>45748</v>
      </c>
      <c r="B8" t="s">
        <v>207</v>
      </c>
    </row>
  </sheetData>
  <mergeCells count="2">
    <mergeCell ref="A2:A5"/>
    <mergeCell ref="A6:A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TotalTime>15</TotalTime>
  <Application>Microsoft Excel</Application>
  <DocSecurity>0</DocSecurity>
  <ScaleCrop>false</ScaleCrop>
  <HeadingPairs>
    <vt:vector size="2" baseType="variant">
      <vt:variant>
        <vt:lpstr>Regneark</vt:lpstr>
      </vt:variant>
      <vt:variant>
        <vt:i4>5</vt:i4>
      </vt:variant>
    </vt:vector>
  </HeadingPairs>
  <TitlesOfParts>
    <vt:vector size="5" baseType="lpstr">
      <vt:lpstr>PRISLISTE NAT.</vt:lpstr>
      <vt:lpstr>PRISBEREGNER NAT.</vt:lpstr>
      <vt:lpstr>PRISLISTE KONS.</vt:lpstr>
      <vt:lpstr>PRISBEREGNER KONS.</vt:lpstr>
      <vt:lpstr>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Jonas Ogdal Jensen</dc:creator>
  <cp:lastModifiedBy>Mads Bakken Thastrup</cp:lastModifiedBy>
  <cp:lastPrinted>2026-08-25T07:22:50Z</cp:lastPrinted>
  <dcterms:created xsi:type="dcterms:W3CDTF">2019-06-27T11:09:39Z</dcterms:created>
  <dcterms:modified xsi:type="dcterms:W3CDTF">2026-10-12T10:44:43Z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2019-06-24T20:54:07Z</dcterms:created>
  <dc:creator/>
  <dc:description/>
  <dc:language>da-DK</dc:language>
  <cp:lastModifiedBy/>
  <dcterms:modified xsi:type="dcterms:W3CDTF">2019-06-24T22:13:35Z</dcterms:modified>
  <cp:revision>3</cp:revision>
  <dc:subject/>
  <dc:title/>
</cp:coreProperties>
</file>